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9D02758B-40FA-4516-8F71-AD59726AF4DE}"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2" i="49" l="1"/>
  <c r="BG2" i="49"/>
  <c r="U11" i="48" l="1"/>
  <c r="BD6" i="30"/>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V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L2" i="53" l="1"/>
  <c r="AF2" i="49" s="1"/>
  <c r="AT2" i="53"/>
  <c r="AQ2" i="49" s="1"/>
  <c r="DZ8" i="30" s="1"/>
  <c r="AJ2" i="53"/>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BW2" i="53"/>
  <c r="BX2" i="53"/>
  <c r="BY2" i="53"/>
  <c r="BU2" i="49" s="1"/>
  <c r="BV2" i="53"/>
  <c r="BR2" i="53"/>
  <c r="DE2" i="49" s="1"/>
  <c r="CU7" i="30" s="1"/>
  <c r="CU6" i="30" s="1"/>
  <c r="BS2" i="53"/>
  <c r="BP2" i="49" s="1"/>
  <c r="BT2" i="53"/>
  <c r="DC2" i="49" s="1"/>
  <c r="CW7" i="30" s="1"/>
  <c r="CW6" i="30" s="1"/>
  <c r="BU2" i="53"/>
  <c r="DD2" i="49" s="1"/>
  <c r="BP2" i="53"/>
  <c r="DA3" i="49" s="1"/>
  <c r="CS7" i="30" s="1"/>
  <c r="CS6" i="30" s="1"/>
  <c r="BQ2" i="53"/>
  <c r="DB2" i="49" s="1"/>
  <c r="AX2" i="53"/>
  <c r="AU2" i="49" s="1"/>
  <c r="AJ7" i="30" s="1"/>
  <c r="AJ6" i="30" s="1"/>
  <c r="AY2" i="53"/>
  <c r="AW2" i="49" s="1"/>
  <c r="AZ2" i="53"/>
  <c r="AX2" i="49" s="1"/>
  <c r="BA2" i="53"/>
  <c r="AY2" i="49" s="1"/>
  <c r="BO2" i="53"/>
  <c r="CY2" i="49" s="1"/>
  <c r="EE7" i="30" s="1"/>
  <c r="EE11" i="30" s="1"/>
  <c r="AD2" i="49"/>
  <c r="T5" i="61"/>
  <c r="T4" i="61"/>
  <c r="AA2" i="53"/>
  <c r="U2" i="49" s="1"/>
  <c r="AB2" i="53"/>
  <c r="V2" i="49" s="1"/>
  <c r="AC2" i="53"/>
  <c r="W2" i="49" s="1"/>
  <c r="Z2" i="53"/>
  <c r="T2" i="49" s="1"/>
  <c r="BN2" i="53"/>
  <c r="BM2" i="53"/>
  <c r="BL2" i="49" s="1"/>
  <c r="BB2" i="53"/>
  <c r="CA2" i="49" s="1"/>
  <c r="BJ2" i="53"/>
  <c r="BI2" i="49" s="1"/>
  <c r="BD2" i="53"/>
  <c r="BA2" i="49" s="1"/>
  <c r="BL2" i="53"/>
  <c r="BK2" i="49" s="1"/>
  <c r="BC2" i="53"/>
  <c r="BK2" i="53"/>
  <c r="BJ2" i="49" s="1"/>
  <c r="BE2" i="53"/>
  <c r="BC2" i="49" s="1"/>
  <c r="BG2" i="53"/>
  <c r="BF2" i="49" s="1"/>
  <c r="BH2" i="53"/>
  <c r="BF2" i="53"/>
  <c r="BD2" i="49" s="1"/>
  <c r="BI2" i="53"/>
  <c r="BH2" i="49" s="1"/>
  <c r="AW2" i="53"/>
  <c r="AS2" i="49" s="1"/>
  <c r="U2" i="53"/>
  <c r="CM2" i="49" s="1"/>
  <c r="T2" i="53"/>
  <c r="CL2" i="49" s="1"/>
  <c r="S2" i="53"/>
  <c r="W2" i="53"/>
  <c r="V2" i="53"/>
  <c r="N2" i="53"/>
  <c r="CF2" i="49" s="1"/>
  <c r="M2" i="53"/>
  <c r="CT2" i="49" s="1"/>
  <c r="L2" i="53"/>
  <c r="CD2" i="49" s="1"/>
  <c r="R2" i="53"/>
  <c r="CJ2" i="49" s="1"/>
  <c r="Q2" i="53"/>
  <c r="CI2" i="49" s="1"/>
  <c r="P2" i="53"/>
  <c r="CH2" i="49" s="1"/>
  <c r="O2" i="53"/>
  <c r="CG2" i="49" s="1"/>
  <c r="H2" i="53"/>
  <c r="BY2" i="49" s="1"/>
  <c r="G2" i="53"/>
  <c r="BX2" i="49" s="1"/>
  <c r="F2" i="53"/>
  <c r="BW2" i="49" s="1"/>
  <c r="I2" i="53"/>
  <c r="BZ2" i="49" s="1"/>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M3" i="49"/>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O8" i="30"/>
  <c r="CW8" i="82"/>
  <c r="CW11" i="82" s="1"/>
  <c r="DP8" i="30"/>
  <c r="CX8" i="82"/>
  <c r="CX11" i="82" s="1"/>
  <c r="DE7" i="82"/>
  <c r="DE6" i="82" s="1"/>
  <c r="CI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C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I3" i="49" l="1"/>
  <c r="BR2" i="49"/>
  <c r="DD7" i="30" s="1"/>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BZ3" i="49"/>
  <c r="AT7" i="82" s="1"/>
  <c r="AT6" i="82" s="1"/>
  <c r="C3" i="49" a="1"/>
  <c r="C3" i="49" s="1"/>
  <c r="L3" i="49"/>
  <c r="F16" i="64"/>
  <c r="G16" i="64"/>
  <c r="D18" i="64"/>
  <c r="E17" i="64"/>
  <c r="H17" i="64" s="1"/>
  <c r="C3" i="62" a="1"/>
  <c r="C3" i="62" s="1"/>
  <c r="CY8" i="30" l="1"/>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BX5" i="82" l="1"/>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W3"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AK3" i="30"/>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CU11" i="30" s="1"/>
  <c r="J161" i="11"/>
  <c r="I161" i="11"/>
  <c r="K161" i="11"/>
  <c r="K162" i="11"/>
  <c r="I162" i="11"/>
  <c r="J162" i="11"/>
  <c r="H157" i="11"/>
  <c r="H163" i="11"/>
  <c r="H156" i="11"/>
  <c r="AM11" i="30" l="1"/>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G5" i="30" s="1"/>
  <c r="DG3" i="30" s="1"/>
  <c r="DF11" i="30"/>
  <c r="DF5" i="30" s="1"/>
  <c r="DF3" i="30" s="1"/>
  <c r="CU5" i="30"/>
  <c r="CN11" i="30"/>
  <c r="CN5" i="30" s="1"/>
  <c r="CN3" i="30" s="1"/>
  <c r="BJ11" i="30"/>
  <c r="D3" i="73"/>
  <c r="BU11" i="30"/>
  <c r="BU5" i="30" s="1"/>
  <c r="BU3" i="30" s="1"/>
  <c r="AA5" i="30"/>
  <c r="H161" i="11"/>
  <c r="H160" i="11"/>
  <c r="H162" i="11"/>
  <c r="AJ11" i="30" l="1"/>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AR3" i="82"/>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AR3" i="30"/>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BA143" i="82"/>
  <c r="BG142" i="82"/>
  <c r="K142" i="82"/>
  <c r="CI142" i="82"/>
  <c r="AY142" i="82"/>
  <c r="AN142" i="82"/>
  <c r="O142" i="82"/>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CP142" i="82" l="1"/>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C155" i="82"/>
  <c r="J155" i="82"/>
  <c r="L155" i="82"/>
  <c r="CM155" i="82"/>
  <c r="CZ155" i="82"/>
  <c r="H155" i="82"/>
  <c r="AW155" i="82"/>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X156" i="82" l="1"/>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M160" i="82"/>
  <c r="H160" i="82"/>
  <c r="AX161" i="82"/>
  <c r="BD160" i="82"/>
  <c r="AW160" i="82"/>
  <c r="CK160" i="82"/>
  <c r="O160" i="82"/>
  <c r="AO160" i="82"/>
  <c r="AH160" i="82"/>
  <c r="AD160" i="82"/>
  <c r="DF160" i="82"/>
  <c r="AL160" i="82"/>
  <c r="AY160" i="82"/>
  <c r="S160" i="82"/>
  <c r="BZ160" i="82"/>
  <c r="T160" i="82"/>
  <c r="CO160" i="82"/>
  <c r="DD160" i="82"/>
  <c r="BP160" i="82"/>
  <c r="AJ160" i="82"/>
  <c r="AC160" i="82"/>
  <c r="CZ160" i="82"/>
  <c r="B160" i="82"/>
  <c r="A161" i="82" s="1"/>
  <c r="DM160" i="82"/>
  <c r="AU160" i="82"/>
  <c r="G160" i="82"/>
  <c r="J160" i="82"/>
  <c r="AE160" i="82"/>
  <c r="CM160" i="82"/>
  <c r="AR160" i="82"/>
  <c r="D160" i="82"/>
  <c r="CR160" i="82"/>
  <c r="CI160" i="82"/>
  <c r="BG160" i="82"/>
  <c r="AS160" i="82"/>
  <c r="AI160" i="82"/>
  <c r="BF160" i="82"/>
  <c r="R160" i="82"/>
  <c r="AN160" i="82"/>
  <c r="CE160" i="82"/>
  <c r="CH160" i="82"/>
  <c r="F160" i="82"/>
  <c r="E160" i="82"/>
  <c r="AP160" i="82"/>
  <c r="AF160" i="82"/>
  <c r="DL160" i="82"/>
  <c r="L160" i="82"/>
  <c r="BA161" i="82"/>
  <c r="AA124" i="82"/>
  <c r="BK160" i="82" l="1"/>
  <c r="U160" i="82"/>
  <c r="DC160" i="82" s="1"/>
  <c r="P160" i="82"/>
  <c r="AG160" i="82"/>
  <c r="AG161" i="82" s="1"/>
  <c r="Y160" i="82"/>
  <c r="Y161" i="82" s="1"/>
  <c r="DA160" i="82"/>
  <c r="DA161" i="82" s="1"/>
  <c r="BV161" i="82"/>
  <c r="BV162" i="82" s="1"/>
  <c r="I160" i="82"/>
  <c r="I161" i="82" s="1"/>
  <c r="CP160" i="82"/>
  <c r="CP161" i="82" s="1"/>
  <c r="Z160" i="82"/>
  <c r="K160" i="82"/>
  <c r="K161" i="82" s="1"/>
  <c r="Q160" i="82"/>
  <c r="Q161" i="82" s="1"/>
  <c r="CC160" i="82"/>
  <c r="CC161" i="82" s="1"/>
  <c r="AB160" i="82"/>
  <c r="AB161" i="82" s="1"/>
  <c r="C160" i="82"/>
  <c r="AJ161" i="82"/>
  <c r="BF161" i="82"/>
  <c r="BZ161" i="82"/>
  <c r="O161" i="82"/>
  <c r="AF161" i="82"/>
  <c r="Z161" i="82"/>
  <c r="P161" i="82"/>
  <c r="CM161" i="82"/>
  <c r="G161" i="82"/>
  <c r="BD161" i="82"/>
  <c r="L161" i="82"/>
  <c r="BG161" i="82"/>
  <c r="CE161" i="82"/>
  <c r="AH161" i="82"/>
  <c r="DF161" i="82"/>
  <c r="CK161" i="82"/>
  <c r="DM161" i="82"/>
  <c r="CR161" i="82"/>
  <c r="D161" i="82"/>
  <c r="M161" i="82"/>
  <c r="AL161" i="82"/>
  <c r="AC161" i="82"/>
  <c r="DL161" i="82"/>
  <c r="CZ161" i="82"/>
  <c r="CH161" i="82"/>
  <c r="CO161" i="82"/>
  <c r="AN161" i="82"/>
  <c r="E161" i="82"/>
  <c r="CI161" i="82"/>
  <c r="AS161" i="82"/>
  <c r="AP161" i="82"/>
  <c r="AY161" i="82"/>
  <c r="AX162" i="82"/>
  <c r="H161" i="82"/>
  <c r="S161" i="82"/>
  <c r="AE161" i="82"/>
  <c r="BP161" i="82"/>
  <c r="BN161" i="82"/>
  <c r="AO161" i="82"/>
  <c r="AR161" i="82"/>
  <c r="AD161" i="82"/>
  <c r="F161" i="82"/>
  <c r="DD161" i="82"/>
  <c r="T161" i="82"/>
  <c r="AW161" i="82"/>
  <c r="R161" i="82"/>
  <c r="BK161" i="82"/>
  <c r="BA162" i="82"/>
  <c r="B161" i="82"/>
  <c r="C161" i="82" s="1"/>
  <c r="AU161" i="82"/>
  <c r="AI161" i="82"/>
  <c r="J161" i="82"/>
  <c r="AA125" i="82"/>
  <c r="U161" i="82" l="1"/>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AY166" i="82"/>
  <c r="Y166" i="82"/>
  <c r="CE166" i="82"/>
  <c r="AE166" i="82"/>
  <c r="Z166" i="82"/>
  <c r="U166" i="82"/>
  <c r="DC166" i="82" s="1"/>
  <c r="CK166" i="82"/>
  <c r="CO166" i="82"/>
  <c r="T166" i="82"/>
  <c r="BV167" i="82"/>
  <c r="L166" i="82"/>
  <c r="DD166" i="82"/>
  <c r="H166" i="82"/>
  <c r="AI166" i="82"/>
  <c r="DM166" i="82"/>
  <c r="AF166" i="82"/>
  <c r="AF167" i="82" s="1"/>
  <c r="Q166" i="82"/>
  <c r="Q167" i="82" s="1"/>
  <c r="AR166" i="82"/>
  <c r="AR167" i="82" s="1"/>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B167" i="82"/>
  <c r="C167" i="82" s="1"/>
  <c r="BV168" i="82"/>
  <c r="AA132" i="82"/>
  <c r="BA168" i="82" l="1"/>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BF169" i="82" s="1"/>
  <c r="H168" i="82"/>
  <c r="DA168" i="82"/>
  <c r="DA169" i="82" s="1"/>
  <c r="Q168" i="82"/>
  <c r="AW168" i="82"/>
  <c r="G168" i="82"/>
  <c r="AU168" i="82"/>
  <c r="S168" i="82"/>
  <c r="F168" i="82"/>
  <c r="F169" i="82" s="1"/>
  <c r="CR168" i="82"/>
  <c r="Z168" i="82"/>
  <c r="AS168" i="82"/>
  <c r="BD168" i="82"/>
  <c r="BG168" i="82"/>
  <c r="E168" i="82"/>
  <c r="R168" i="82"/>
  <c r="AC168" i="82"/>
  <c r="AC169" i="82" s="1"/>
  <c r="BK168" i="82"/>
  <c r="BK169" i="82" s="1"/>
  <c r="AF168" i="82"/>
  <c r="AF169" i="82" s="1"/>
  <c r="D168" i="82"/>
  <c r="AG168" i="82"/>
  <c r="AY168" i="82"/>
  <c r="CC168" i="82"/>
  <c r="BZ168" i="82"/>
  <c r="AE168" i="82"/>
  <c r="T168" i="82"/>
  <c r="BV169" i="82"/>
  <c r="AL168" i="82"/>
  <c r="CH168" i="82"/>
  <c r="I168" i="82"/>
  <c r="CP168" i="82"/>
  <c r="DL168" i="82"/>
  <c r="DL169" i="82" s="1"/>
  <c r="AR168" i="82"/>
  <c r="AR169" i="82" s="1"/>
  <c r="AJ168" i="82"/>
  <c r="AJ169" i="82" s="1"/>
  <c r="J168" i="82"/>
  <c r="J169" i="82" s="1"/>
  <c r="L168" i="82"/>
  <c r="CI168" i="82"/>
  <c r="AX169" i="82"/>
  <c r="AB168" i="82"/>
  <c r="K168" i="82"/>
  <c r="K169" i="82" s="1"/>
  <c r="CK168" i="82"/>
  <c r="BA169" i="82"/>
  <c r="BA170" i="82" s="1"/>
  <c r="CE168" i="82"/>
  <c r="CE169" i="82" s="1"/>
  <c r="CM168" i="82"/>
  <c r="U168" i="82"/>
  <c r="DC168" i="82" s="1"/>
  <c r="M168" i="82"/>
  <c r="CZ168" i="82"/>
  <c r="AI168" i="82"/>
  <c r="AI169" i="82" s="1"/>
  <c r="AH168" i="82"/>
  <c r="AH169" i="82" s="1"/>
  <c r="DD168" i="82"/>
  <c r="AD168" i="82"/>
  <c r="AD169" i="82" s="1"/>
  <c r="DM168" i="82"/>
  <c r="CO168" i="82"/>
  <c r="Y168" i="82"/>
  <c r="AP168" i="82"/>
  <c r="P168" i="82"/>
  <c r="P169" i="82" s="1"/>
  <c r="O168" i="82"/>
  <c r="O169" i="82" s="1"/>
  <c r="AN168" i="82"/>
  <c r="AN169" i="82" s="1"/>
  <c r="BG169" i="82"/>
  <c r="AA134" i="82"/>
  <c r="CR169" i="82" l="1"/>
  <c r="H169" i="82"/>
  <c r="R169" i="82"/>
  <c r="S169" i="82"/>
  <c r="AP169" i="82"/>
  <c r="AB169" i="82"/>
  <c r="CP169" i="82"/>
  <c r="CC169" i="82"/>
  <c r="CZ169" i="82"/>
  <c r="Y169" i="82"/>
  <c r="M169" i="82"/>
  <c r="AY169" i="82"/>
  <c r="CH169" i="82"/>
  <c r="AG169" i="82"/>
  <c r="AO169" i="82"/>
  <c r="E169" i="82"/>
  <c r="AU169" i="82"/>
  <c r="G169" i="82"/>
  <c r="BP169" i="82"/>
  <c r="Q169" i="82"/>
  <c r="B169" i="82"/>
  <c r="A170" i="82" s="1"/>
  <c r="P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BN170" i="82" l="1"/>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A173" i="82"/>
  <c r="AC173" i="82"/>
  <c r="BP173" i="82"/>
  <c r="S173" i="82"/>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CM173" i="82" l="1"/>
  <c r="CI173" i="82"/>
  <c r="CK173" i="82"/>
  <c r="CK174" i="82" s="1"/>
  <c r="AY173" i="82"/>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AY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J188" i="82"/>
  <c r="AS188" i="82"/>
  <c r="R188" i="82"/>
  <c r="L188" i="82"/>
  <c r="D188" i="82"/>
  <c r="AW188" i="82"/>
  <c r="H188" i="82"/>
  <c r="CM188" i="82"/>
  <c r="CR188" i="82"/>
  <c r="CK188" i="82"/>
  <c r="AP188" i="82"/>
  <c r="DD188" i="82"/>
  <c r="BA189" i="82"/>
  <c r="CI188" i="82"/>
  <c r="AL188" i="82"/>
  <c r="CE188" i="82"/>
  <c r="F188" i="82"/>
  <c r="AF188" i="82"/>
  <c r="CC188" i="82"/>
  <c r="AE188" i="82"/>
  <c r="AI188" i="82"/>
  <c r="K188" i="82"/>
  <c r="E188" i="82"/>
  <c r="BK188" i="82"/>
  <c r="AC188" i="82"/>
  <c r="AG188" i="82"/>
  <c r="BZ188" i="82"/>
  <c r="BN188" i="82"/>
  <c r="AX189" i="82"/>
  <c r="I188" i="82"/>
  <c r="AA159" i="82"/>
  <c r="BP188" i="82" l="1"/>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I190" i="82" s="1"/>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AG190" i="82" l="1"/>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CR199" i="82"/>
  <c r="AR199" i="82"/>
  <c r="AJ199" i="82"/>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S199" i="82" l="1"/>
  <c r="AU199" i="82"/>
  <c r="BD199" i="82"/>
  <c r="BF199" i="82"/>
  <c r="M199" i="82"/>
  <c r="AN199" i="82"/>
  <c r="CK199" i="82"/>
  <c r="A200" i="82"/>
  <c r="BD200" i="82" s="1"/>
  <c r="C199" i="82"/>
  <c r="AA172" i="82"/>
  <c r="Z200" i="82" l="1"/>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J201" i="82"/>
  <c r="AB201" i="82"/>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X202" i="82" l="1"/>
  <c r="AJ201" i="82"/>
  <c r="CK201" i="82"/>
  <c r="CI201" i="82"/>
  <c r="CI202" i="82" s="1"/>
  <c r="P202" i="82"/>
  <c r="CP202" i="82"/>
  <c r="AN202" i="82"/>
  <c r="AF202" i="82"/>
  <c r="AU202" i="82"/>
  <c r="G202" i="82"/>
  <c r="BA203" i="82"/>
  <c r="Y202" i="82"/>
  <c r="I202" i="82"/>
  <c r="S202" i="82"/>
  <c r="CZ202" i="82"/>
  <c r="B202" i="82"/>
  <c r="A203" i="82" s="1"/>
  <c r="B203" i="82" s="1"/>
  <c r="C203" i="82" s="1"/>
  <c r="AL202" i="82"/>
  <c r="AX203"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AF205" i="82"/>
  <c r="T205" i="82"/>
  <c r="K205" i="82"/>
  <c r="AG205" i="82"/>
  <c r="BD205" i="82"/>
  <c r="AB205" i="82"/>
  <c r="CP205" i="82"/>
  <c r="BA206" i="82"/>
  <c r="CH205"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I205" i="82" l="1"/>
  <c r="DM205" i="82"/>
  <c r="AY205" i="82"/>
  <c r="F205" i="82"/>
  <c r="CE205" i="82"/>
  <c r="R205" i="82"/>
  <c r="R206" i="82" s="1"/>
  <c r="AJ205" i="82"/>
  <c r="AJ206" i="82" s="1"/>
  <c r="DA205" i="82"/>
  <c r="DA206" i="82" s="1"/>
  <c r="AR206" i="82"/>
  <c r="C205" i="82"/>
  <c r="DL206" i="82"/>
  <c r="O206" i="82"/>
  <c r="BF206" i="82"/>
  <c r="AF206" i="82"/>
  <c r="CE206" i="82"/>
  <c r="CI206" i="82"/>
  <c r="BK206" i="82"/>
  <c r="AL206" i="82"/>
  <c r="AY206" i="82"/>
  <c r="AO206" i="82"/>
  <c r="AG206" i="82"/>
  <c r="S206" i="82"/>
  <c r="F206" i="82"/>
  <c r="AS206" i="82"/>
  <c r="AW206" i="82"/>
  <c r="CR206" i="82"/>
  <c r="J206" i="82"/>
  <c r="D206" i="82"/>
  <c r="CC206" i="82"/>
  <c r="BA207" i="82"/>
  <c r="BZ206" i="82"/>
  <c r="G206" i="82"/>
  <c r="BD206" i="82"/>
  <c r="AN206" i="82"/>
  <c r="DM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D213" i="82" s="1"/>
  <c r="G212" i="82"/>
  <c r="G213" i="82" s="1"/>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BA214" i="82" l="1"/>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B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BZ11" i="30" s="1"/>
  <c r="CL8" i="82"/>
  <c r="CL11" i="82" s="1"/>
  <c r="DA5" i="30" l="1"/>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U11" i="30" l="1"/>
  <c r="AU5" i="30" s="1"/>
  <c r="AY11" i="30"/>
  <c r="AY5" i="30" s="1"/>
  <c r="AY3"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R4" i="82" s="1"/>
  <c r="AQ12" i="82"/>
  <c r="AQ13" i="82" s="1"/>
  <c r="DU11" i="30"/>
  <c r="DU5" i="30" s="1"/>
  <c r="AU3" i="30" l="1"/>
  <c r="AS4" i="82"/>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AT3" i="82" s="1"/>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4" i="82" l="1"/>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CD3" i="82"/>
  <c r="AT19" i="82"/>
  <c r="DK18" i="82"/>
  <c r="DN18" i="82" s="1"/>
  <c r="CF3" i="82"/>
  <c r="BU4" i="82" l="1"/>
  <c r="BU3" i="82"/>
  <c r="CI3" i="82"/>
  <c r="DK19" i="82"/>
  <c r="DN19" i="82" s="1"/>
  <c r="AT20" i="82"/>
  <c r="BV4" i="82" l="1"/>
  <c r="BW4" i="82" s="1"/>
  <c r="BX4" i="82" s="1"/>
  <c r="BY4" i="82" s="1"/>
  <c r="BZ4" i="82" s="1"/>
  <c r="CA4" i="82" s="1"/>
  <c r="CB3" i="82" s="1"/>
  <c r="BV3" i="82"/>
  <c r="CM3" i="82"/>
  <c r="AT21" i="82"/>
  <c r="DK20" i="82"/>
  <c r="DN20" i="82" s="1"/>
  <c r="CN3" i="82"/>
  <c r="Q6" i="81" l="1"/>
  <c r="R6" i="81"/>
  <c r="P6" i="81"/>
  <c r="O7" i="81" s="1"/>
  <c r="S6" i="81"/>
  <c r="CB4" i="82"/>
  <c r="CC4" i="82" s="1"/>
  <c r="CD4" i="82" s="1"/>
  <c r="CE4" i="82" s="1"/>
  <c r="CF4" i="82" s="1"/>
  <c r="CG4" i="82" s="1"/>
  <c r="CH4" i="82" s="1"/>
  <c r="CI4" i="82" s="1"/>
  <c r="CJ4" i="82" s="1"/>
  <c r="CK4" i="82" s="1"/>
  <c r="CL4" i="82" s="1"/>
  <c r="CM4" i="82" s="1"/>
  <c r="CN4" i="82" s="1"/>
  <c r="CO4" i="82" s="1"/>
  <c r="CP4" i="82" s="1"/>
  <c r="CQ4" i="82" s="1"/>
  <c r="CR4" i="82" s="1"/>
  <c r="CS4" i="82" s="1"/>
  <c r="CT4" i="82" s="1"/>
  <c r="CU4" i="82" s="1"/>
  <c r="CV4" i="82" s="1"/>
  <c r="CU3" i="82"/>
  <c r="DK21" i="82"/>
  <c r="DN21" i="82" s="1"/>
  <c r="AT22" i="82"/>
  <c r="CL3" i="82" l="1"/>
  <c r="CW4" i="82"/>
  <c r="CX4" i="82" s="1"/>
  <c r="CY4" i="82" s="1"/>
  <c r="CW3" i="82"/>
  <c r="AT23" i="82"/>
  <c r="DK22" i="82"/>
  <c r="DN22" i="82" s="1"/>
  <c r="CZ4" i="82" l="1"/>
  <c r="DA4" i="82" s="1"/>
  <c r="CZ3" i="82"/>
  <c r="DK23" i="82"/>
  <c r="DN23" i="82" s="1"/>
  <c r="AT24" i="82"/>
  <c r="DB4" i="82" l="1"/>
  <c r="DB3" i="82"/>
  <c r="AT25" i="82"/>
  <c r="DK24" i="82"/>
  <c r="DN24" i="82" s="1"/>
  <c r="DC4" i="82" l="1"/>
  <c r="DD4" i="82" s="1"/>
  <c r="DE4" i="82" s="1"/>
  <c r="DC3" i="82"/>
  <c r="AT26" i="82"/>
  <c r="DK25" i="82"/>
  <c r="DN25" i="82" s="1"/>
  <c r="DF4" i="82" l="1"/>
  <c r="DF3" i="82"/>
  <c r="AT27" i="82"/>
  <c r="DK26" i="82"/>
  <c r="DN26" i="82" s="1"/>
  <c r="DG4" i="82" l="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K4" i="30" s="1"/>
  <c r="AJ3" i="30"/>
  <c r="DK167" i="82"/>
  <c r="DN167" i="82" s="1"/>
  <c r="AT168" i="82"/>
  <c r="AN3" i="30"/>
  <c r="AZ3" i="30"/>
  <c r="AL3" i="30" l="1"/>
  <c r="AL4" i="30"/>
  <c r="AM4" i="30" s="1"/>
  <c r="AN4" i="30" s="1"/>
  <c r="AO3" i="30" s="1"/>
  <c r="AT169" i="82"/>
  <c r="DK168" i="82"/>
  <c r="DN168" i="82" s="1"/>
  <c r="AS3" i="30"/>
  <c r="AO4" i="30" l="1"/>
  <c r="AP4" i="30" s="1"/>
  <c r="AX3" i="30"/>
  <c r="AT170" i="82"/>
  <c r="DK169" i="82"/>
  <c r="DN169" i="82" s="1"/>
  <c r="AQ4" i="30" l="1"/>
  <c r="AR4" i="30" s="1"/>
  <c r="AS4" i="30" s="1"/>
  <c r="AT4" i="30" s="1"/>
  <c r="AU4" i="30" s="1"/>
  <c r="AQ3" i="30"/>
  <c r="AT3" i="30"/>
  <c r="AT171" i="82"/>
  <c r="DK170" i="82"/>
  <c r="DN170" i="82" s="1"/>
  <c r="BK3" i="30"/>
  <c r="CO3" i="30"/>
  <c r="AV4" i="30" l="1"/>
  <c r="AW4" i="30" s="1"/>
  <c r="AX4" i="30" s="1"/>
  <c r="AY4" i="30" s="1"/>
  <c r="AZ4" i="30" s="1"/>
  <c r="BA4" i="30" s="1"/>
  <c r="BB4" i="30" s="1"/>
  <c r="BC4" i="30" s="1"/>
  <c r="AV3" i="30"/>
  <c r="AT172" i="82"/>
  <c r="DK171" i="82"/>
  <c r="DN171" i="82" s="1"/>
  <c r="BA3" i="30" l="1"/>
  <c r="BD4" i="30"/>
  <c r="BE4" i="30" s="1"/>
  <c r="BF4" i="30" s="1"/>
  <c r="BD3" i="30"/>
  <c r="BE3" i="30"/>
  <c r="BB3" i="30"/>
  <c r="CS3" i="30"/>
  <c r="AT173" i="82"/>
  <c r="DK172" i="82"/>
  <c r="DN172" i="82" s="1"/>
  <c r="BG4" i="30" l="1"/>
  <c r="BH4" i="30" s="1"/>
  <c r="BI4" i="30" s="1"/>
  <c r="BJ4" i="30" s="1"/>
  <c r="BK4" i="30" s="1"/>
  <c r="BL4" i="30" s="1"/>
  <c r="BM4" i="30" s="1"/>
  <c r="BN4" i="30" s="1"/>
  <c r="BO4" i="30" s="1"/>
  <c r="BP4" i="30" s="1"/>
  <c r="BQ4" i="30" s="1"/>
  <c r="BR3" i="30" s="1"/>
  <c r="BG3" i="30"/>
  <c r="CT3" i="30"/>
  <c r="CU3" i="30"/>
  <c r="AT174" i="82"/>
  <c r="DK173" i="82"/>
  <c r="DN173" i="82" s="1"/>
  <c r="BR4" i="30" l="1"/>
  <c r="BS3" i="30" s="1"/>
  <c r="CW3" i="30"/>
  <c r="DC3" i="30"/>
  <c r="AT175" i="82"/>
  <c r="DK174" i="82"/>
  <c r="DN174" i="82" s="1"/>
  <c r="DH3" i="30"/>
  <c r="DL3" i="30"/>
  <c r="DO3" i="30"/>
  <c r="BS4" i="30" l="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J3" i="30"/>
  <c r="DR3" i="30"/>
  <c r="CZ4" i="30" l="1"/>
  <c r="CZ3" i="30"/>
  <c r="K3" i="85" s="1"/>
  <c r="M3" i="85" s="1"/>
  <c r="AT177" i="82"/>
  <c r="DK176" i="82"/>
  <c r="DN176" i="82" s="1"/>
  <c r="DK3" i="30"/>
  <c r="DU3" i="30"/>
  <c r="Q4" i="48"/>
  <c r="L5" i="81" s="1"/>
  <c r="P4" i="48" l="1"/>
  <c r="K5" i="81" s="1"/>
  <c r="G9" i="63"/>
  <c r="F10" i="63" s="1"/>
  <c r="M4" i="48"/>
  <c r="I5" i="81" s="1"/>
  <c r="I9" i="63"/>
  <c r="G3" i="85"/>
  <c r="F4" i="85" s="1"/>
  <c r="O4" i="48"/>
  <c r="J5" i="81" s="1"/>
  <c r="H9" i="63"/>
  <c r="I3" i="85"/>
  <c r="J9" i="63"/>
  <c r="J3" i="85"/>
  <c r="DA4" i="30"/>
  <c r="DA3" i="30"/>
  <c r="AT178" i="82"/>
  <c r="DK177" i="82"/>
  <c r="DN177" i="82" s="1"/>
  <c r="DV3" i="30"/>
  <c r="L5" i="48" l="1"/>
  <c r="N4" i="48"/>
  <c r="H3" i="85" s="1"/>
  <c r="O9" i="63"/>
  <c r="P9" i="63" s="1"/>
  <c r="L9" i="63"/>
  <c r="M9" i="63" s="1"/>
  <c r="DB4" i="30"/>
  <c r="DC4" i="30" s="1"/>
  <c r="DD4" i="30" s="1"/>
  <c r="DE4" i="30" s="1"/>
  <c r="DF4" i="30" s="1"/>
  <c r="DG4" i="30" s="1"/>
  <c r="DH4" i="30" s="1"/>
  <c r="DI4" i="30" s="1"/>
  <c r="DJ4" i="30" s="1"/>
  <c r="DK4" i="30" s="1"/>
  <c r="DL4" i="30" s="1"/>
  <c r="DM4" i="30" s="1"/>
  <c r="DN4" i="30" s="1"/>
  <c r="DO4" i="30" s="1"/>
  <c r="DP4" i="30" s="1"/>
  <c r="DQ4" i="30" s="1"/>
  <c r="DR4" i="30" s="1"/>
  <c r="DS4" i="30" s="1"/>
  <c r="DT4" i="30" s="1"/>
  <c r="DU4" i="30" s="1"/>
  <c r="DV4" i="30" s="1"/>
  <c r="DW4" i="30" s="1"/>
  <c r="DB3" i="30"/>
  <c r="DD3" i="30"/>
  <c r="H6" i="81"/>
  <c r="AT179" i="82"/>
  <c r="DK178" i="82"/>
  <c r="DN178" i="82" s="1"/>
  <c r="DW3" i="30"/>
  <c r="AT180" i="82" l="1"/>
  <c r="DK179" i="82"/>
  <c r="DN179" i="82" s="1"/>
  <c r="DX4" i="30"/>
  <c r="DY4" i="30" s="1"/>
  <c r="DZ4" i="30" s="1"/>
  <c r="EA4" i="30" s="1"/>
  <c r="DX3" i="30"/>
  <c r="AT181" i="82" l="1"/>
  <c r="DK180" i="82"/>
  <c r="DN180" i="82" s="1"/>
  <c r="EB3" i="30"/>
  <c r="EB4" i="30"/>
  <c r="AT182" i="82" l="1"/>
  <c r="DK181" i="82"/>
  <c r="DN181" i="82" s="1"/>
  <c r="AT183" i="82" l="1"/>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L15" i="63" s="1"/>
  <c r="G15" i="63"/>
  <c r="F16" i="63" s="1"/>
  <c r="G16" i="63" s="1"/>
  <c r="H15" i="63"/>
  <c r="O15" i="63" l="1"/>
  <c r="P15" i="63" s="1"/>
  <c r="J16" i="63"/>
  <c r="O16" i="63" s="1"/>
  <c r="P16" i="63" s="1"/>
  <c r="F17" i="63"/>
  <c r="H17" i="63" s="1"/>
  <c r="I16" i="63"/>
  <c r="H16" i="63"/>
  <c r="M15" i="63"/>
  <c r="G17" i="63" l="1"/>
  <c r="L16" i="63"/>
  <c r="M16" i="63" s="1"/>
  <c r="F18" i="63"/>
  <c r="J18" i="63" s="1"/>
  <c r="I17" i="63"/>
  <c r="J17" i="63"/>
  <c r="O17" i="63" s="1"/>
  <c r="P17" i="63" s="1"/>
  <c r="L17" i="63" l="1"/>
  <c r="M17" i="63" s="1"/>
  <c r="I18" i="63"/>
  <c r="H18" i="63"/>
  <c r="G18" i="63"/>
  <c r="F19" i="63"/>
  <c r="H19" i="63" s="1"/>
  <c r="O18" i="63"/>
  <c r="P18" i="63" s="1"/>
  <c r="L18" i="63"/>
  <c r="J19" i="63" l="1"/>
  <c r="L19" i="63" s="1"/>
  <c r="F20" i="63"/>
  <c r="H20" i="63" s="1"/>
  <c r="M18" i="63"/>
  <c r="I19" i="63"/>
  <c r="G19" i="63"/>
  <c r="G20" i="63" l="1"/>
  <c r="O19" i="63"/>
  <c r="P19" i="63" s="1"/>
  <c r="I20" i="63"/>
  <c r="J20" i="63"/>
  <c r="O20" i="63" s="1"/>
  <c r="P20" i="63" s="1"/>
  <c r="M19" i="63"/>
  <c r="F21" i="63"/>
  <c r="I21" i="63" s="1"/>
  <c r="L20" i="63" l="1"/>
  <c r="M20" i="63" s="1"/>
  <c r="H21" i="63"/>
  <c r="F22" i="63"/>
  <c r="F23" i="63" s="1"/>
  <c r="J21" i="63"/>
  <c r="O21" i="63" s="1"/>
  <c r="P21" i="63" s="1"/>
  <c r="G21" i="63"/>
  <c r="G22" i="63" l="1"/>
  <c r="H22" i="63"/>
  <c r="J22" i="63"/>
  <c r="O22" i="63" s="1"/>
  <c r="P22" i="63" s="1"/>
  <c r="I22" i="63"/>
  <c r="L21" i="63"/>
  <c r="M21" i="63" s="1"/>
  <c r="G23" i="63"/>
  <c r="J23" i="63"/>
  <c r="H23" i="63"/>
  <c r="F24" i="63"/>
  <c r="I23" i="63"/>
  <c r="L22" i="63" l="1"/>
  <c r="M22" i="63" s="1"/>
  <c r="G24" i="63"/>
  <c r="J24" i="63"/>
  <c r="I24" i="63"/>
  <c r="F25" i="63"/>
  <c r="H24" i="63"/>
  <c r="L23" i="63"/>
  <c r="M23" i="63" s="1"/>
  <c r="O23" i="63"/>
  <c r="P23" i="63" s="1"/>
  <c r="J25" i="63" l="1"/>
  <c r="F26" i="63"/>
  <c r="G25" i="63"/>
  <c r="H25" i="63"/>
  <c r="I25" i="63"/>
  <c r="O24" i="63"/>
  <c r="P24" i="63" s="1"/>
  <c r="L24" i="63"/>
  <c r="M24" i="63" s="1"/>
  <c r="J26" i="63" l="1"/>
  <c r="G26" i="63"/>
  <c r="I26" i="63"/>
  <c r="H26" i="63"/>
  <c r="F27" i="63"/>
  <c r="O25" i="63"/>
  <c r="P25" i="63" s="1"/>
  <c r="L25" i="63"/>
  <c r="M25" i="63" s="1"/>
  <c r="G27" i="63" l="1"/>
  <c r="H27" i="63"/>
  <c r="F28" i="63"/>
  <c r="I27" i="63"/>
  <c r="J27" i="63"/>
  <c r="L26" i="63"/>
  <c r="M26" i="63" s="1"/>
  <c r="O26" i="63"/>
  <c r="P26" i="63" s="1"/>
  <c r="O27" i="63" l="1"/>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L8" i="81" s="1"/>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N7" i="48" l="1"/>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c r="Q9" i="48" l="1"/>
  <c r="L10" i="81" s="1"/>
  <c r="P9" i="48"/>
  <c r="K10" i="81" s="1"/>
  <c r="H10" i="81"/>
  <c r="M9" i="48"/>
  <c r="I10" i="81" s="1"/>
  <c r="O9" i="48"/>
  <c r="J10" i="81" s="1"/>
  <c r="G11" i="85"/>
  <c r="F12" i="85" s="1"/>
  <c r="K11" i="85"/>
  <c r="M11" i="85" s="1"/>
  <c r="I11" i="85"/>
  <c r="J11" i="85"/>
  <c r="Q14" i="81"/>
  <c r="S14" i="81"/>
  <c r="R14" i="81"/>
  <c r="O15" i="81"/>
  <c r="P14" i="81"/>
  <c r="N9" i="48" l="1"/>
  <c r="H8" i="85" s="1"/>
  <c r="L10" i="48"/>
  <c r="G12" i="85"/>
  <c r="J12" i="85"/>
  <c r="K12" i="85"/>
  <c r="M12" i="85" s="1"/>
  <c r="H12" i="85"/>
  <c r="F13" i="85"/>
  <c r="I12" i="85"/>
  <c r="Q15" i="81"/>
  <c r="S15" i="81"/>
  <c r="O16" i="81"/>
  <c r="R15" i="81"/>
  <c r="P15" i="81"/>
  <c r="P10" i="48" l="1"/>
  <c r="K11" i="81" s="1"/>
  <c r="Q10" i="48"/>
  <c r="L11" i="81" s="1"/>
  <c r="O10" i="48"/>
  <c r="J11" i="81" s="1"/>
  <c r="M10" i="48"/>
  <c r="I11" i="81" s="1"/>
  <c r="H11" i="81"/>
  <c r="I13" i="85"/>
  <c r="K13" i="85"/>
  <c r="M13" i="85" s="1"/>
  <c r="G13" i="85"/>
  <c r="F14" i="85"/>
  <c r="H13" i="85"/>
  <c r="J13" i="85"/>
  <c r="O17" i="81"/>
  <c r="P16" i="81"/>
  <c r="R16" i="81"/>
  <c r="Q16" i="81"/>
  <c r="S16" i="81"/>
  <c r="L11" i="48" l="1"/>
  <c r="N10" i="48"/>
  <c r="H9" i="85" s="1"/>
  <c r="G14" i="85"/>
  <c r="J14" i="85"/>
  <c r="H14" i="85"/>
  <c r="K14" i="85"/>
  <c r="M14" i="85" s="1"/>
  <c r="F15" i="85"/>
  <c r="I14" i="85"/>
  <c r="R17" i="81"/>
  <c r="P17" i="81"/>
  <c r="O18" i="81"/>
  <c r="Q17" i="81"/>
  <c r="S17" i="81"/>
  <c r="Q11" i="48" l="1"/>
  <c r="L12" i="81" s="1"/>
  <c r="P11" i="48"/>
  <c r="K12" i="81" s="1"/>
  <c r="M11" i="48"/>
  <c r="I12" i="81" s="1"/>
  <c r="O11" i="48"/>
  <c r="J12" i="81" s="1"/>
  <c r="H12" i="81"/>
  <c r="G15" i="85"/>
  <c r="I15" i="85"/>
  <c r="F16" i="85"/>
  <c r="J15" i="85"/>
  <c r="K15" i="85"/>
  <c r="M15" i="85" s="1"/>
  <c r="H15" i="85"/>
  <c r="P18" i="81"/>
  <c r="R18" i="81"/>
  <c r="S18" i="81"/>
  <c r="Q18" i="81"/>
  <c r="O19" i="81"/>
  <c r="L12" i="48" l="1"/>
  <c r="P12" i="48" s="1"/>
  <c r="K13" i="81" s="1"/>
  <c r="N11" i="48"/>
  <c r="H10" i="85" s="1"/>
  <c r="H16" i="85"/>
  <c r="G16" i="85"/>
  <c r="J16" i="85"/>
  <c r="I16" i="85"/>
  <c r="F17" i="85"/>
  <c r="K16" i="85"/>
  <c r="M16" i="85" s="1"/>
  <c r="R19" i="81"/>
  <c r="S19" i="81"/>
  <c r="O20" i="81"/>
  <c r="P19" i="81"/>
  <c r="Q19" i="81"/>
  <c r="Q12" i="48" l="1"/>
  <c r="L13" i="81" s="1"/>
  <c r="H13" i="81"/>
  <c r="M12" i="48"/>
  <c r="I13" i="81" s="1"/>
  <c r="O12" i="48"/>
  <c r="J13" i="81" s="1"/>
  <c r="L13" i="48"/>
  <c r="Q13" i="48" s="1"/>
  <c r="L14" i="81" s="1"/>
  <c r="N12" i="48"/>
  <c r="G17" i="85"/>
  <c r="I17" i="85"/>
  <c r="K17" i="85"/>
  <c r="M17" i="85" s="1"/>
  <c r="F18" i="85"/>
  <c r="J17" i="85"/>
  <c r="H17" i="85"/>
  <c r="R20" i="81"/>
  <c r="Q20" i="81"/>
  <c r="P20" i="81"/>
  <c r="O21" i="81"/>
  <c r="S20" i="81"/>
  <c r="P13" i="48" l="1"/>
  <c r="K14" i="81" s="1"/>
  <c r="O13" i="48"/>
  <c r="J14" i="81" s="1"/>
  <c r="M13" i="48"/>
  <c r="I14" i="81" s="1"/>
  <c r="L14" i="48"/>
  <c r="L15" i="48" s="1"/>
  <c r="H14" i="81"/>
  <c r="N13" i="48"/>
  <c r="J18" i="85"/>
  <c r="K18" i="85"/>
  <c r="M18" i="85" s="1"/>
  <c r="I18" i="85"/>
  <c r="G18" i="85"/>
  <c r="H18" i="85"/>
  <c r="F19" i="85"/>
  <c r="R21" i="81"/>
  <c r="O22" i="81"/>
  <c r="P21" i="81"/>
  <c r="Q21" i="81"/>
  <c r="S21" i="81"/>
  <c r="N14" i="48" l="1"/>
  <c r="H15" i="81"/>
  <c r="Q14" i="48"/>
  <c r="L15" i="81" s="1"/>
  <c r="P14" i="48"/>
  <c r="K15" i="81" s="1"/>
  <c r="O14" i="48"/>
  <c r="J15" i="81" s="1"/>
  <c r="M14" i="48"/>
  <c r="I15" i="81" s="1"/>
  <c r="L16" i="48"/>
  <c r="M15" i="48"/>
  <c r="I16" i="81" s="1"/>
  <c r="N15" i="48"/>
  <c r="H16" i="81"/>
  <c r="Q15" i="48"/>
  <c r="L16" i="81" s="1"/>
  <c r="P15" i="48"/>
  <c r="K16" i="81" s="1"/>
  <c r="O15" i="48"/>
  <c r="J16" i="81" s="1"/>
  <c r="K19" i="85"/>
  <c r="M19" i="85" s="1"/>
  <c r="J19" i="85"/>
  <c r="H19" i="85"/>
  <c r="I19" i="85"/>
  <c r="F20" i="85"/>
  <c r="G19" i="85"/>
  <c r="O23" i="81"/>
  <c r="R22" i="81"/>
  <c r="Q22" i="81"/>
  <c r="P22" i="81"/>
  <c r="S22" i="81"/>
  <c r="M16" i="48" l="1"/>
  <c r="I17" i="81" s="1"/>
  <c r="Q16" i="48"/>
  <c r="L17" i="81" s="1"/>
  <c r="P16" i="48"/>
  <c r="K17" i="81" s="1"/>
  <c r="N16" i="48"/>
  <c r="L17" i="48"/>
  <c r="H17" i="81"/>
  <c r="O16" i="48"/>
  <c r="J17" i="81" s="1"/>
  <c r="H20" i="85"/>
  <c r="I20" i="85"/>
  <c r="G20" i="85"/>
  <c r="J20" i="85"/>
  <c r="F21" i="85"/>
  <c r="K20" i="85"/>
  <c r="M20" i="85" s="1"/>
  <c r="Q23" i="81"/>
  <c r="P23" i="81"/>
  <c r="S23" i="81"/>
  <c r="R23" i="81"/>
  <c r="O24" i="81"/>
  <c r="H18" i="81" l="1"/>
  <c r="Q17" i="48"/>
  <c r="L18" i="81" s="1"/>
  <c r="O17" i="48"/>
  <c r="J18" i="81" s="1"/>
  <c r="M17" i="48"/>
  <c r="I18" i="81" s="1"/>
  <c r="P17" i="48"/>
  <c r="K18" i="81" s="1"/>
  <c r="L18" i="48"/>
  <c r="N17" i="48"/>
  <c r="H21" i="85"/>
  <c r="F22" i="85"/>
  <c r="G21" i="85"/>
  <c r="I21" i="85"/>
  <c r="K21" i="85"/>
  <c r="M21" i="85" s="1"/>
  <c r="J21" i="85"/>
  <c r="R24" i="81"/>
  <c r="Q24" i="81"/>
  <c r="S24" i="81"/>
  <c r="P24" i="81"/>
  <c r="O25" i="81"/>
  <c r="N18" i="48" l="1"/>
  <c r="P18" i="48"/>
  <c r="K19" i="81" s="1"/>
  <c r="H19" i="81"/>
  <c r="O18" i="48"/>
  <c r="J19" i="81" s="1"/>
  <c r="M18" i="48"/>
  <c r="I19" i="81" s="1"/>
  <c r="Q18" i="48"/>
  <c r="L19" i="81" s="1"/>
  <c r="L19" i="48"/>
  <c r="K22" i="85"/>
  <c r="M22" i="85" s="1"/>
  <c r="G22" i="85"/>
  <c r="F23" i="85"/>
  <c r="J22" i="85"/>
  <c r="H22" i="85"/>
  <c r="I22" i="85"/>
  <c r="Q25" i="81"/>
  <c r="P25" i="81"/>
  <c r="S25" i="81"/>
  <c r="R25" i="81"/>
  <c r="O26" i="81"/>
  <c r="L20" i="48" l="1"/>
  <c r="M19" i="48"/>
  <c r="I20" i="81" s="1"/>
  <c r="H20" i="81"/>
  <c r="Q19" i="48"/>
  <c r="L20" i="81" s="1"/>
  <c r="P19" i="48"/>
  <c r="K20" i="81" s="1"/>
  <c r="O19" i="48"/>
  <c r="J20" i="81" s="1"/>
  <c r="N19" i="48"/>
  <c r="H11" i="85" s="1"/>
  <c r="I23" i="85"/>
  <c r="J23" i="85"/>
  <c r="G23" i="85"/>
  <c r="F24" i="85"/>
  <c r="H23" i="85"/>
  <c r="K23" i="85"/>
  <c r="M23" i="85" s="1"/>
  <c r="Q26" i="81"/>
  <c r="S26" i="81"/>
  <c r="O27" i="81"/>
  <c r="R26" i="81"/>
  <c r="P26" i="81"/>
  <c r="Q20" i="48" l="1"/>
  <c r="L21" i="81" s="1"/>
  <c r="L21" i="48"/>
  <c r="P20" i="48"/>
  <c r="K21" i="81" s="1"/>
  <c r="N20" i="48"/>
  <c r="O20" i="48"/>
  <c r="J21" i="81" s="1"/>
  <c r="M20" i="48"/>
  <c r="I21" i="81" s="1"/>
  <c r="H21" i="81"/>
  <c r="J24" i="85"/>
  <c r="I24" i="85"/>
  <c r="H24" i="85"/>
  <c r="G24" i="85"/>
  <c r="F25" i="85"/>
  <c r="K24" i="85"/>
  <c r="M24" i="85" s="1"/>
  <c r="R27" i="81"/>
  <c r="P27" i="81"/>
  <c r="S27" i="81"/>
  <c r="Q27" i="81"/>
  <c r="Q21" i="48" l="1"/>
  <c r="L22" i="81" s="1"/>
  <c r="N21" i="48"/>
  <c r="O21" i="48"/>
  <c r="J22" i="81" s="1"/>
  <c r="H22" i="81"/>
  <c r="P21" i="48"/>
  <c r="K22" i="81" s="1"/>
  <c r="L22" i="48"/>
  <c r="M21" i="48"/>
  <c r="I22" i="81" s="1"/>
  <c r="I25" i="85"/>
  <c r="K25" i="85"/>
  <c r="M25" i="85" s="1"/>
  <c r="G25" i="85"/>
  <c r="H25" i="85"/>
  <c r="J25" i="85"/>
  <c r="N22" i="48" l="1"/>
  <c r="L23" i="48"/>
  <c r="O22" i="48"/>
  <c r="J23" i="81" s="1"/>
  <c r="P22" i="48"/>
  <c r="K23" i="81" s="1"/>
  <c r="H23" i="81"/>
  <c r="Q22" i="48"/>
  <c r="L23" i="81" s="1"/>
  <c r="M22" i="48"/>
  <c r="I23" i="81" s="1"/>
  <c r="Q23" i="48" l="1"/>
  <c r="L24" i="81" s="1"/>
  <c r="H24" i="81"/>
  <c r="O23" i="48"/>
  <c r="J24" i="81" s="1"/>
  <c r="L24" i="48"/>
  <c r="P23" i="48"/>
  <c r="K24" i="81" s="1"/>
  <c r="M23" i="48"/>
  <c r="I24" i="81" s="1"/>
  <c r="N23" i="48"/>
  <c r="P24" i="48" l="1"/>
  <c r="K25" i="81" s="1"/>
  <c r="M24" i="48"/>
  <c r="I25" i="81" s="1"/>
  <c r="Q24" i="48"/>
  <c r="L25" i="81" s="1"/>
  <c r="N24" i="48"/>
  <c r="L25" i="48"/>
  <c r="H25" i="81"/>
  <c r="O24" i="48"/>
  <c r="J25" i="81" s="1"/>
  <c r="M25" i="48" l="1"/>
  <c r="I26" i="81" s="1"/>
  <c r="L26" i="48"/>
  <c r="H26" i="81"/>
  <c r="P25" i="48"/>
  <c r="K26" i="81" s="1"/>
  <c r="O25" i="48"/>
  <c r="J26" i="81" s="1"/>
  <c r="N25" i="48"/>
  <c r="Q25" i="48"/>
  <c r="L26" i="81" s="1"/>
  <c r="P26" i="48" l="1"/>
  <c r="K27" i="81" s="1"/>
  <c r="N26" i="48"/>
  <c r="H27" i="81"/>
  <c r="O26" i="48"/>
  <c r="J27" i="81" s="1"/>
  <c r="Q26" i="48"/>
  <c r="L27" i="81" s="1"/>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<sst xmlns="http://schemas.openxmlformats.org/spreadsheetml/2006/main" count="42622" uniqueCount="5800">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</sst>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3">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0" fillId="53" borderId="0" xfId="0" applyFill="1" applyBorder="1"/>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2" val="11"/>
</file>

<file path=xl/ctrlProps/ctrlProp3.xml><?xml version="1.0" encoding="utf-8"?>
<formControlPr xmlns="http://schemas.microsoft.com/office/spreadsheetml/2009/9/main" objectType="Drop" dropStyle="combo" dx="16" fmlaLink="$B$4" fmlaRange="MISRAD!$B$5:$C$81" noThreeD="1" sel="22" val="21"/>
</file>

<file path=xl/ctrlProps/ctrlProp4.xml><?xml version="1.0" encoding="utf-8"?>
<formControlPr xmlns="http://schemas.microsoft.com/office/spreadsheetml/2009/9/main" objectType="Drop" dropStyle="combo" dx="16" fmlaLink="$B$6" fmlaRange="'tosafot '!$B$7:$C$234" noThreeD="1" sel="1" val="0"/>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BF63464E-B944-B3BC-9328-9DC3B33B32D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27919658-2E3D-8D7A-A7D6-86D353BA07E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1B571BFD-000C-7523-FB63-D4C341F119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A7BAA4F3-CCB0-2E73-9665-3CFF57FACB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E64A0706-FF95-EE33-4A47-D708E7A51DC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EFFE2023-02EF-4FA7-4E9C-2ED9A2B489C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DB81FAA8-E0B0-05D4-8E69-3A1B937C20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42ED1CC-3314-BAA8-60B9-C3415008C8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5378AB89-E7C5-3504-66A5-3A61B83E58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F346AF8-578C-D97A-469D-85B546E4FDB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38C6CB1C-84D7-5F23-CB7E-1AEA048A3B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8EFF5CD7-35EA-59D4-10B2-7FB628CDFF0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C658FDAD-0303-B872-A0EC-1EF5AE4C2AE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AADEF4E8-8A3E-A3F1-E060-1F2D85E866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1857B5E3-B41C-63AB-E111-01629A0ABB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C2B9829-E6B7-FF8A-0743-8792ADA1A8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B6581FD6-7C4F-B633-E47E-A72EFF892A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5574DD27-EF21-2CCC-BD41-57C1F4727F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73E87A8B-D95E-7F5A-11C0-FFD64D45EDD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31330E9-F937-54B6-A0D1-5EA9D9123A1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6048A497-87B6-3965-6E8B-EC6FF8A21C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A294AB9-A7AF-C2D9-5A47-9D9A40B856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735D095E-902D-0436-A62E-FF4F995A83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475E186E-F017-6358-B5A7-64873FF3A0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92F96479-A86D-5C6A-DCBC-772843FD1D3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317347A6-A9DA-BDBE-5033-246E566F31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1D6CC506-3CAF-2768-C365-B7BCDC237EE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10415F42-C1AB-8287-0282-934BA6CBF64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638A6044-D3EB-F482-74C3-FA26E6F6A3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7A40310C-DD11-D407-0F03-0D33187235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F0369157-E1FD-BA0B-9A06-617E5F650D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2369C2B6-9D93-6B3F-B5FD-F6915D78C5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CB84A5FD-7144-1FA4-6370-B0D20E5C01F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30A0626B-D0B0-EEAA-DBD4-BFECCD8EE1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3F33C334-FAF7-666C-E863-A7F4C81BA3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B3D828D7-B2A1-38D7-D5C7-6E336D60A8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ABC23CD6-CAC2-CB8B-8BD8-AC032748D8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A402499B-92F0-F679-5AAC-73353B3EB1A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8DAADCE8-E580-FDFE-13BA-34FF999A053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17A9C85D-818A-3741-B257-559658488F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2ECA7F14-14B4-5265-D6AC-A54515B85E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47187040-8833-C6F5-D13D-103BB66621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2F8A1615-7377-F72E-DB29-9CC824CEA04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E95E4CDE-576A-EFE6-672A-8C2396B078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26EE5765-BF33-D8D7-0BE9-96DA63FE451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630DC4BB-BB5D-70A9-304A-FC1B4882FA5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87D771D3-E98F-65E0-5A3B-9BFE248B5B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E8FDB048-79FA-8F0F-037B-315A9A73579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C0D4D0F5-1E91-A334-F861-1867EF34AB7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9B9E3EE1-DC54-8B2E-FB56-236B9437C3E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23038331-FCD1-B8DD-F8F9-4975F2518E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FF137363-73D6-B716-1ADF-2EAED5F557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331358A4-20F6-43F4-26B0-DD8A86D931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819A1E49-D4B3-2CEB-DCA1-21D1DF0704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96D3FA4B-5FDD-8988-98BC-F1A7D82FE4C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5CB1686A-FFE4-DA6D-4ADE-3EFE3DA644B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DAECA697-0E66-9091-362B-00EFBF6BE3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A752176A-38C0-D9EF-4723-2504898040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1A099061-F76E-64F7-8B25-3ECB16828EA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631EEFE2-52E0-E40C-017A-046F3AFFA37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A915EAF2-90D1-0B70-8C36-3DF4A51F5B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93DD8D50-528F-4CFF-C1DF-C0F5FF71CD8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15612BA4-4EBF-05AB-9FCB-D0EEEF30F7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F3B96815-81EF-A3FF-1906-51A3BC1ED74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46CB7C21-4C94-1F9E-6470-D6529DD226F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A45EBF7A-8093-7E3A-E72F-66B318448CF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CBA92431-C281-F2B4-3E90-8C36894F8E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77E10933-0582-0E82-0D64-208FCCCC50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A9292B40-73A7-59C2-DF22-D9026BADD9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223F19BC-79FD-4A6E-A2EB-2F68CC3C066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1B11C8B1-A5BC-E0E5-732B-AD8D0DFEEF3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A4C6020A-25A2-85BF-0626-BA58CBFA10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3EAD79BC-95D0-8519-D54F-08B3EC0561B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FFD2EF00-5B07-F65F-E400-F043FCC3B88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918770CA-D3A1-542A-ADF1-F9F7DF6039A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E5AE3FBB-7F87-7E20-3428-D887A079164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B76D81C3-502A-8FC2-A4D8-FB81094C171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9C0D4BF6-B287-56A9-DAC6-4E21636ACA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4D8E7B1-52AC-9A48-09D3-15F92B89C2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C8E9F2E4-A467-3DD8-3CB5-2B86BAC9E5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523D511B-6C35-DA09-B8DE-53F58EA03F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327C45F2-19B6-04DE-AEB7-C4BB66CFCC5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91E16C28-2C03-98EF-145F-10202B61367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B8DCFC40-C76E-0A85-2A4E-6FC684293D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312DDECA-0CE3-CE3A-30C7-56C60271F1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6A228897-2EE9-E073-C398-82182E6881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B2CE0123-9FBE-975A-9348-306869E536F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C3E623DD-6649-9BAA-FF35-5452332EF53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EB05F245-E02F-8E46-9E27-D789FBCA644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B827C8D8-942E-71AE-4726-DA4D09EABEE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10D5D789-7E70-F945-CB97-6C91EFAF51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41236699-82A2-7F0E-BBCB-BBA21D54DC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691AA15E-9B60-A076-6428-22570D91F2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A62CE140-418A-EE1F-FFD9-79D7981FAC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107098F5-51FF-819A-BD5A-3D8579E2ABC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2EBD7BEC-E2D2-2EBB-D0D7-6A45C27719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6898808A-C40D-CF43-8C11-E069453288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874CCAB3-FFC4-B8F6-CFFE-631A018484E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964FF277-5D16-6606-1CFB-5E722BE624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20A1796A-8C1D-0795-7DC0-CCFEB66C70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workbookViewId="0">
      <selection activeCell="I62" sqref="I62"/>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1" ht="15" thickBot="1">
      <c r="A1" t="s">
        <v>0</v>
      </c>
      <c r="B1" t="s">
        <v>1</v>
      </c>
      <c r="C1" s="6"/>
      <c r="D1" s="569"/>
      <c r="E1" s="569"/>
      <c r="F1" s="569"/>
      <c r="G1" s="569"/>
      <c r="H1" s="570"/>
      <c r="I1" s="570"/>
      <c r="J1" s="569"/>
      <c r="K1" s="6"/>
      <c r="L1" s="6"/>
    </row>
    <row r="2" spans="1:21" ht="15" thickTop="1">
      <c r="A2" t="s">
        <v>3</v>
      </c>
      <c r="B2">
        <v>11111111</v>
      </c>
      <c r="C2" s="6"/>
      <c r="D2" s="569"/>
      <c r="E2" s="569"/>
      <c r="F2" s="569"/>
      <c r="G2" s="569"/>
      <c r="H2" s="570"/>
      <c r="I2" s="570"/>
      <c r="J2" s="569"/>
      <c r="K2" s="6"/>
      <c r="L2" s="542" t="s">
        <v>5</v>
      </c>
      <c r="M2" s="543" t="s">
        <v>5775</v>
      </c>
      <c r="N2" s="543" t="s">
        <v>1441</v>
      </c>
      <c r="O2" s="234"/>
      <c r="P2" s="234"/>
      <c r="Q2" s="331"/>
    </row>
    <row r="3" spans="1:21">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3515.0966513789817</v>
      </c>
      <c r="R3" s="192"/>
      <c r="S3">
        <v>10002</v>
      </c>
      <c r="T3" t="s">
        <v>68</v>
      </c>
      <c r="U3">
        <v>3515.1</v>
      </c>
    </row>
    <row r="4" spans="1:21" ht="16.8" customHeight="1">
      <c r="A4" t="s">
        <v>7</v>
      </c>
      <c r="B4">
        <v>22</v>
      </c>
      <c r="D4" s="566" t="s">
        <v>5764</v>
      </c>
      <c r="E4" s="566" t="s">
        <v>5775</v>
      </c>
      <c r="F4" s="566" t="s">
        <v>1441</v>
      </c>
      <c r="G4" s="567" t="s">
        <v>5765</v>
      </c>
      <c r="H4" s="566"/>
      <c r="I4" s="566" t="s">
        <v>5766</v>
      </c>
      <c r="J4" s="568"/>
      <c r="L4" s="332">
        <f t="shared" ref="L4:L18" si="0">IF(L3=" "," ",IF(M3=99999," ",+L3+1))</f>
        <v>2</v>
      </c>
      <c r="M4" s="1">
        <f>IF(L4=" "," ",HLOOKUP(L4,SACHAR!$AA$3:$EF$11,7,0))</f>
        <v>4544</v>
      </c>
      <c r="N4" s="1">
        <f>IF(L4=" "," ",VLOOKUP(M4,'simlei sachar'!$C$2:$D$152,2,0))</f>
        <v>1007</v>
      </c>
      <c r="O4" t="str">
        <f>IF(L4=" "," ",HLOOKUP(L4,SACHAR!$AA$3:$EF$11,8,0))</f>
        <v>הסכם 2001 / תוספת 3.6</v>
      </c>
      <c r="P4" s="333">
        <f>IF(L4=" "," ",HLOOKUP(L4,SACHAR!$AA$3:$EF$11,4,0))</f>
        <v>3.5999999999999997E-2</v>
      </c>
      <c r="Q4" s="239">
        <f>IF(L4=" "," ",HLOOKUP(L4,SACHAR!$AA$3:$EF$11,9,0))</f>
        <v>160.55836672570746</v>
      </c>
      <c r="R4" s="192"/>
      <c r="S4">
        <v>697</v>
      </c>
      <c r="T4" t="s">
        <v>1422</v>
      </c>
      <c r="U4">
        <v>274.18</v>
      </c>
    </row>
    <row r="5" spans="1:21" ht="15.6" customHeight="1">
      <c r="A5" t="s">
        <v>9</v>
      </c>
      <c r="B5">
        <v>1</v>
      </c>
      <c r="D5" s="555" t="s">
        <v>21</v>
      </c>
      <c r="E5" s="556" t="s">
        <v>5302</v>
      </c>
      <c r="F5" s="583" t="str">
        <f>VLOOKUP(E5,'simlei sachar'!$C$2:$D$152,2,0)</f>
        <v>8070/8072</v>
      </c>
      <c r="G5" s="557" t="b">
        <v>0</v>
      </c>
      <c r="H5" s="557"/>
      <c r="I5" s="557"/>
      <c r="J5" s="557"/>
      <c r="L5" s="332">
        <f t="shared" si="0"/>
        <v>3</v>
      </c>
      <c r="M5" s="1">
        <f>IF(L5=" "," ",HLOOKUP(L5,SACHAR!$AA$3:$EF$11,7,0))</f>
        <v>4550</v>
      </c>
      <c r="N5" s="1">
        <f>IF(L5=" "," ",VLOOKUP(M5,'simlei sachar'!$C$2:$D$152,2,0))</f>
        <v>1034</v>
      </c>
      <c r="O5" t="str">
        <f>IF(L5=" "," ",HLOOKUP(L5,SACHAR!$AA$3:$EF$11,8,0))</f>
        <v>הסכם 2001 אישי</v>
      </c>
      <c r="P5" s="333" t="str">
        <f>IF(L5=" "," ",HLOOKUP(L5,SACHAR!$AA$3:$EF$11,4,0))</f>
        <v xml:space="preserve"> </v>
      </c>
      <c r="Q5" s="381">
        <f>IF(L5=" "," ",HLOOKUP(L5,SACHAR!$AA$3:$EF$11,9,0))</f>
        <v>804.25411383551102</v>
      </c>
      <c r="R5" s="192"/>
      <c r="S5">
        <v>808</v>
      </c>
      <c r="T5" t="s">
        <v>1319</v>
      </c>
      <c r="U5">
        <v>198.46</v>
      </c>
    </row>
    <row r="6" spans="1:21" ht="16.2" customHeight="1">
      <c r="A6" t="s">
        <v>5357</v>
      </c>
      <c r="B6">
        <v>1</v>
      </c>
      <c r="D6" s="555" t="s">
        <v>22</v>
      </c>
      <c r="E6" s="555">
        <v>897</v>
      </c>
      <c r="F6" s="583">
        <f>VLOOKUP(E6,'simlei sachar'!$C$2:$D$152,2,0)</f>
        <v>8078</v>
      </c>
      <c r="G6" s="557" t="b">
        <v>0</v>
      </c>
      <c r="H6" s="557"/>
      <c r="I6" s="557"/>
      <c r="J6" s="557"/>
      <c r="L6" s="332">
        <f t="shared" si="0"/>
        <v>4</v>
      </c>
      <c r="M6" s="1">
        <f>IF(L6=" "," ",HLOOKUP(L6,SACHAR!$AA$3:$EF$11,7,0))</f>
        <v>4624</v>
      </c>
      <c r="N6" s="1">
        <f>IF(L6=" "," ",VLOOKUP(M6,'simlei sachar'!$C$2:$D$152,2,0))</f>
        <v>1004</v>
      </c>
      <c r="O6" t="str">
        <f>IF(L6=" "," ",HLOOKUP(L6,SACHAR!$AA$3:$EF$11,8,0))</f>
        <v>הסכם 1999</v>
      </c>
      <c r="P6" s="333">
        <f>IF(L6=" "," ",HLOOKUP(L6,SACHAR!$AA$3:$EF$11,4,0))</f>
        <v>0.04</v>
      </c>
      <c r="Q6" s="239">
        <f>IF(L6=" "," ",HLOOKUP(L6,SACHAR!$AA$3:$EF$11,9,0))</f>
        <v>140.60386605515927</v>
      </c>
      <c r="R6" s="192"/>
      <c r="S6">
        <v>4544</v>
      </c>
      <c r="T6" t="s">
        <v>1370</v>
      </c>
      <c r="U6">
        <v>160.56</v>
      </c>
    </row>
    <row r="7" spans="1:21">
      <c r="A7" t="s">
        <v>5358</v>
      </c>
      <c r="B7">
        <v>228</v>
      </c>
      <c r="D7" s="421" t="s">
        <v>29</v>
      </c>
      <c r="E7" s="421">
        <v>31</v>
      </c>
      <c r="F7" s="421">
        <f>VLOOKUP(E7,'simlei sachar'!$C$2:$D$152,2,0)</f>
        <v>0</v>
      </c>
      <c r="G7" s="421" t="b">
        <v>0</v>
      </c>
      <c r="H7" s="421" t="s">
        <v>3261</v>
      </c>
      <c r="I7" s="421" t="s">
        <v>5200</v>
      </c>
      <c r="J7" s="421"/>
      <c r="L7" s="332">
        <f t="shared" si="0"/>
        <v>5</v>
      </c>
      <c r="M7" s="1">
        <f>IF(L7=" "," ",HLOOKUP(L7,SACHAR!$AA$3:$EF$11,7,0))</f>
        <v>99998</v>
      </c>
      <c r="N7" s="1" t="str">
        <f>IF(L7=" "," ",VLOOKUP(M7,'simlei sachar'!$C$2:$D$152,2,0))</f>
        <v>ללא</v>
      </c>
      <c r="O7" t="str">
        <f>IF(L7=" "," ",HLOOKUP(L7,SACHAR!$AA$3:$EF$11,8,0))</f>
        <v>עיגול לחישוב מינימום</v>
      </c>
      <c r="P7" s="333" t="str">
        <f>IF(L7=" "," ",HLOOKUP(L7,SACHAR!$AA$3:$EF$11,4,0))</f>
        <v xml:space="preserve"> </v>
      </c>
      <c r="Q7" s="239">
        <f>IF(L7=" "," ",HLOOKUP(L7,SACHAR!$AA$3:$EF$11,9,0))</f>
        <v>1E-3</v>
      </c>
      <c r="R7" s="192"/>
      <c r="S7">
        <v>4550</v>
      </c>
      <c r="T7" t="s">
        <v>2681</v>
      </c>
      <c r="U7">
        <v>530.08000000000004</v>
      </c>
    </row>
    <row r="8" spans="1:21" ht="16.2" customHeight="1">
      <c r="A8" t="s">
        <v>15</v>
      </c>
      <c r="B8">
        <f>+B7-B6</f>
        <v>227</v>
      </c>
      <c r="D8" s="421" t="s">
        <v>25</v>
      </c>
      <c r="E8" s="421">
        <v>705</v>
      </c>
      <c r="F8" s="421">
        <f>VLOOKUP(E8,'simlei sachar'!$C$2:$D$152,2,0)</f>
        <v>1016</v>
      </c>
      <c r="G8" s="421" t="b">
        <v>0</v>
      </c>
      <c r="H8" s="421"/>
      <c r="I8" s="421" t="s">
        <v>5311</v>
      </c>
      <c r="J8" s="421"/>
      <c r="L8" s="332">
        <f t="shared" si="0"/>
        <v>6</v>
      </c>
      <c r="M8" s="1">
        <f>IF(L8=" "," ",HLOOKUP(L8,SACHAR!$AA$3:$EF$11,7,0))</f>
        <v>1699</v>
      </c>
      <c r="N8" s="1">
        <f>IF(L8=" "," ",VLOOKUP(M8,'simlei sachar'!$C$2:$D$152,2,0))</f>
        <v>1014</v>
      </c>
      <c r="O8" t="str">
        <f>IF(L8=" "," ",HLOOKUP(L8,SACHAR!$AA$3:$EF$11,8,0))</f>
        <v>תוספת חוק מינימום</v>
      </c>
      <c r="P8" s="333" t="str">
        <f>IF(L8=" "," ",HLOOKUP(L8,SACHAR!$AA$3:$EF$11,4,0))</f>
        <v xml:space="preserve"> </v>
      </c>
      <c r="Q8" s="239">
        <f>IF(L8=" "," ",HLOOKUP(L8,SACHAR!$AA$3:$EF$11,9,0))</f>
        <v>467.24588616448909</v>
      </c>
      <c r="R8" s="192"/>
      <c r="S8">
        <v>4624</v>
      </c>
      <c r="T8" t="s">
        <v>1690</v>
      </c>
      <c r="U8">
        <v>140.6</v>
      </c>
    </row>
    <row r="9" spans="1:21"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99999</v>
      </c>
      <c r="N9" s="1" t="str">
        <f>IF(L9=" "," ",VLOOKUP(M9,'simlei sachar'!$C$2:$D$152,2,0))</f>
        <v>ללא</v>
      </c>
      <c r="O9" t="str">
        <f>IF(L9=" "," ",HLOOKUP(L9,SACHAR!$AA$3:$EF$11,8,0))</f>
        <v>סה"כ מרכיבי שכר שוטף</v>
      </c>
      <c r="P9" s="333" t="str">
        <f>IF(L9=" "," ",HLOOKUP(L9,SACHAR!$AA$3:$EF$11,4,0))</f>
        <v xml:space="preserve"> </v>
      </c>
      <c r="Q9" s="239">
        <f>IF(L9=" "," ",HLOOKUP(L9,SACHAR!$AA$3:$EF$11,9,0))</f>
        <v>5087.7598841598492</v>
      </c>
      <c r="R9" s="192"/>
    </row>
    <row r="10" spans="1:21">
      <c r="A10" t="s">
        <v>17</v>
      </c>
      <c r="B10">
        <v>12</v>
      </c>
      <c r="D10" s="421" t="s">
        <v>1364</v>
      </c>
      <c r="E10" s="421">
        <v>737</v>
      </c>
      <c r="F10" s="421">
        <f>VLOOKUP(E10,'simlei sachar'!$C$2:$D$152,2,0)</f>
        <v>1355</v>
      </c>
      <c r="G10" s="421" t="b">
        <v>0</v>
      </c>
      <c r="H10" s="421"/>
      <c r="I10" s="421" t="s">
        <v>5194</v>
      </c>
      <c r="J10" s="421"/>
      <c r="L10" s="332" t="str">
        <f t="shared" si="0"/>
        <v xml:space="preserve"> </v>
      </c>
      <c r="M10" s="1" t="str">
        <f>IF(L10=" "," ",HLOOKUP(L10,SACHAR!$AA$3:$EF$11,7,0))</f>
        <v xml:space="preserve"> </v>
      </c>
      <c r="N10" s="1" t="str">
        <f>IF(L10=" "," ",VLOOKUP(M10,'simlei sachar'!$C$2:$D$152,2,0))</f>
        <v xml:space="preserve"> </v>
      </c>
      <c r="O10" t="str">
        <f>IF(L10=" "," ",HLOOKUP(L10,SACHAR!$AA$3:$EF$11,8,0))</f>
        <v xml:space="preserve"> </v>
      </c>
      <c r="P10" s="333" t="str">
        <f>IF(L10=" "," ",HLOOKUP(L10,SACHAR!$AA$3:$EF$11,4,0))</f>
        <v xml:space="preserve"> </v>
      </c>
      <c r="Q10" s="239" t="str">
        <f>IF(L10=" "," ",HLOOKUP(L10,SACHAR!$AA$3:$EF$11,9,0))</f>
        <v xml:space="preserve"> </v>
      </c>
      <c r="R10" s="192"/>
      <c r="S10">
        <v>1699</v>
      </c>
      <c r="T10" t="s">
        <v>1375</v>
      </c>
      <c r="U10">
        <v>268.95999999999998</v>
      </c>
    </row>
    <row r="11" spans="1:21">
      <c r="C11" s="8"/>
      <c r="D11" s="421" t="s">
        <v>1376</v>
      </c>
      <c r="E11" s="421">
        <v>738</v>
      </c>
      <c r="F11" s="421">
        <f>VLOOKUP(E11,'simlei sachar'!$C$2:$D$152,2,0)</f>
        <v>1304</v>
      </c>
      <c r="G11" s="421" t="b">
        <v>0</v>
      </c>
      <c r="H11" s="421"/>
      <c r="I11" s="421" t="s">
        <v>5194</v>
      </c>
      <c r="J11" s="421"/>
      <c r="K11" s="8"/>
      <c r="L11" s="332" t="str">
        <f t="shared" si="0"/>
        <v xml:space="preserve"> </v>
      </c>
      <c r="M11" s="1" t="str">
        <f>IF(L11=" "," ",HLOOKUP(L11,SACHAR!$AA$3:$EF$11,7,0))</f>
        <v xml:space="preserve"> </v>
      </c>
      <c r="N11" s="1" t="str">
        <f>IF(L11=" "," ",VLOOKUP(M11,'simlei sachar'!$C$2:$D$152,2,0))</f>
        <v xml:space="preserve"> </v>
      </c>
      <c r="O11" t="str">
        <f>IF(L11=" "," ",HLOOKUP(L11,SACHAR!$AA$3:$EF$11,8,0))</f>
        <v xml:space="preserve"> </v>
      </c>
      <c r="P11" s="333" t="str">
        <f>IF(L11=" "," ",HLOOKUP(L11,SACHAR!$AA$3:$EF$11,4,0))</f>
        <v xml:space="preserve"> </v>
      </c>
      <c r="Q11" s="239" t="str">
        <f>IF(L11=" "," ",HLOOKUP(L11,SACHAR!$AA$3:$EF$11,9,0))</f>
        <v xml:space="preserve"> </v>
      </c>
      <c r="R11" s="192"/>
      <c r="U11">
        <f>SUM(U3:U10)</f>
        <v>5087.9400000000005</v>
      </c>
    </row>
    <row r="12" spans="1:21" ht="15.6" customHeight="1">
      <c r="A12" t="s">
        <v>1216</v>
      </c>
      <c r="B12" s="8">
        <v>0</v>
      </c>
      <c r="C12" s="7"/>
      <c r="D12" s="421" t="s">
        <v>27</v>
      </c>
      <c r="E12" s="421">
        <v>741</v>
      </c>
      <c r="F12" s="421">
        <f>VLOOKUP(E12,'simlei sachar'!$C$2:$D$152,2,0)</f>
        <v>1012</v>
      </c>
      <c r="G12" s="421" t="b">
        <v>0</v>
      </c>
      <c r="H12" s="421"/>
      <c r="I12" s="421" t="s">
        <v>5194</v>
      </c>
      <c r="J12" s="421"/>
      <c r="K12" s="7"/>
      <c r="L12" s="332" t="str">
        <f t="shared" si="0"/>
        <v xml:space="preserve"> </v>
      </c>
      <c r="M12" s="1" t="str">
        <f>IF(L12=" "," ",HLOOKUP(L12,SACHAR!$AA$3:$EF$11,7,0))</f>
        <v xml:space="preserve"> </v>
      </c>
      <c r="N12" s="1" t="str">
        <f>IF(L12=" "," ",VLOOKUP(M12,'simlei sachar'!$C$2:$D$152,2,0))</f>
        <v xml:space="preserve"> </v>
      </c>
      <c r="O12" t="str">
        <f>IF(L12=" "," ",HLOOKUP(L12,SACHAR!$AA$3:$EF$11,8,0))</f>
        <v xml:space="preserve"> </v>
      </c>
      <c r="P12" s="333" t="str">
        <f>IF(L12=" "," ",HLOOKUP(L12,SACHAR!$AA$3:$EF$11,4,0))</f>
        <v xml:space="preserve"> </v>
      </c>
      <c r="Q12" s="239" t="str">
        <f>IF(L12=" "," ",HLOOKUP(L12,SACHAR!$AA$3:$EF$11,9,0))</f>
        <v xml:space="preserve"> </v>
      </c>
      <c r="R12" s="192"/>
    </row>
    <row r="13" spans="1:21">
      <c r="A13" t="s">
        <v>1211</v>
      </c>
      <c r="B13" s="7">
        <v>36.75</v>
      </c>
      <c r="C13" s="7"/>
      <c r="D13" s="421" t="s">
        <v>1319</v>
      </c>
      <c r="E13" s="421">
        <v>808</v>
      </c>
      <c r="F13" s="421">
        <f>VLOOKUP(E13,'simlei sachar'!$C$2:$D$152,2,0)</f>
        <v>1041</v>
      </c>
      <c r="G13" s="421" t="b">
        <v>0</v>
      </c>
      <c r="H13" s="421"/>
      <c r="I13" s="421" t="s">
        <v>5325</v>
      </c>
      <c r="J13" s="421"/>
      <c r="K13" s="7"/>
      <c r="L13" s="332" t="str">
        <f t="shared" si="0"/>
        <v xml:space="preserve"> </v>
      </c>
      <c r="M13" s="1" t="str">
        <f>IF(L13=" "," ",HLOOKUP(L13,SACHAR!$AA$3:$EF$11,7,0))</f>
        <v xml:space="preserve"> </v>
      </c>
      <c r="N13" s="1" t="str">
        <f>IF(L13=" "," ",VLOOKUP(M13,'simlei sachar'!$C$2:$D$152,2,0))</f>
        <v xml:space="preserve"> </v>
      </c>
      <c r="O13" t="str">
        <f>IF(L13=" "," ",HLOOKUP(L13,SACHAR!$AA$3:$EF$11,8,0))</f>
        <v xml:space="preserve"> </v>
      </c>
      <c r="P13" s="333" t="str">
        <f>IF(L13=" "," ",HLOOKUP(L13,SACHAR!$AA$3:$EF$11,4,0))</f>
        <v xml:space="preserve"> </v>
      </c>
      <c r="Q13" s="239" t="str">
        <f>IF(L13=" "," ",HLOOKUP(L13,SACHAR!$AA$3:$EF$11,9,0))</f>
        <v xml:space="preserve"> </v>
      </c>
      <c r="R13" s="192"/>
    </row>
    <row r="14" spans="1:21" ht="15" thickBot="1">
      <c r="A14" t="s">
        <v>1212</v>
      </c>
      <c r="B14" s="336">
        <v>0</v>
      </c>
      <c r="C14" s="7"/>
      <c r="D14" s="421" t="s">
        <v>1588</v>
      </c>
      <c r="E14" s="421">
        <v>1389</v>
      </c>
      <c r="F14" s="421">
        <f>VLOOKUP(E14,'simlei sachar'!$C$2:$D$152,2,0)</f>
        <v>1107</v>
      </c>
      <c r="G14" s="421" t="b">
        <v>0</v>
      </c>
      <c r="H14" s="421"/>
      <c r="I14" s="421" t="s">
        <v>594</v>
      </c>
      <c r="J14" s="421"/>
      <c r="K14" s="7"/>
      <c r="L14" s="332" t="str">
        <f t="shared" si="0"/>
        <v xml:space="preserve"> </v>
      </c>
      <c r="M14" s="1" t="str">
        <f>IF(L14=" "," ",HLOOKUP(L14,SACHAR!$AA$3:$EF$11,7,0))</f>
        <v xml:space="preserve"> </v>
      </c>
      <c r="N14" s="1" t="str">
        <f>IF(L14=" "," ",VLOOKUP(M14,'simlei sachar'!$C$2:$D$152,2,0))</f>
        <v xml:space="preserve"> </v>
      </c>
      <c r="O14" t="str">
        <f>IF(L14=" "," ",HLOOKUP(L14,SACHAR!$AA$3:$EF$11,8,0))</f>
        <v xml:space="preserve"> </v>
      </c>
      <c r="P14" s="333" t="str">
        <f>IF(L14=" "," ",HLOOKUP(L14,SACHAR!$AA$3:$EF$11,4,0))</f>
        <v xml:space="preserve"> </v>
      </c>
      <c r="Q14" s="239" t="str">
        <f>IF(L14=" "," ",HLOOKUP(L14,SACHAR!$AA$3:$EF$11,9,0))</f>
        <v xml:space="preserve"> </v>
      </c>
      <c r="R14" s="192"/>
    </row>
    <row r="15" spans="1:21" ht="15.6" thickTop="1" thickBot="1">
      <c r="A15" s="378" t="s">
        <v>5762</v>
      </c>
      <c r="B15" s="560">
        <f>+B12+B13+B14*50%</f>
        <v>36.75</v>
      </c>
      <c r="C15" s="7"/>
      <c r="D15" s="421" t="s">
        <v>985</v>
      </c>
      <c r="E15" s="421">
        <v>1657</v>
      </c>
      <c r="F15" s="421">
        <f>VLOOKUP(E15,'simlei sachar'!$C$2:$D$152,2,0)</f>
        <v>8164</v>
      </c>
      <c r="G15" s="421" t="b">
        <v>0</v>
      </c>
      <c r="H15" s="421"/>
      <c r="I15" s="421" t="s">
        <v>594</v>
      </c>
      <c r="J15" s="421"/>
      <c r="K15" s="7"/>
      <c r="L15" s="332" t="str">
        <f t="shared" si="0"/>
        <v xml:space="preserve"> </v>
      </c>
      <c r="M15" s="1" t="str">
        <f>IF(L15=" "," ",HLOOKUP(L15,SACHAR!$AA$3:$EF$11,7,0))</f>
        <v xml:space="preserve"> </v>
      </c>
      <c r="N15" s="1" t="str">
        <f>IF(L15=" "," ",VLOOKUP(M15,'simlei sachar'!$C$2:$D$152,2,0))</f>
        <v xml:space="preserve"> </v>
      </c>
      <c r="O15" t="str">
        <f>IF(L15=" "," ",HLOOKUP(L15,SACHAR!$AA$3:$EF$11,8,0))</f>
        <v xml:space="preserve"> </v>
      </c>
      <c r="P15" s="333" t="str">
        <f>IF(L15=" "," ",HLOOKUP(L15,SACHAR!$AA$3:$EF$11,4,0))</f>
        <v xml:space="preserve"> </v>
      </c>
      <c r="Q15" s="239" t="str">
        <f>IF(L15=" "," ",HLOOKUP(L15,SACHAR!$AA$3:$EF$11,9,0))</f>
        <v xml:space="preserve"> </v>
      </c>
      <c r="R15" s="192"/>
    </row>
    <row r="16" spans="1:21" ht="15" thickTop="1">
      <c r="C16" s="7"/>
      <c r="D16" s="421" t="s">
        <v>5316</v>
      </c>
      <c r="E16" s="421">
        <v>927</v>
      </c>
      <c r="F16" s="421">
        <f>VLOOKUP(E16,'simlei sachar'!$C$2:$D$152,2,0)</f>
        <v>1074</v>
      </c>
      <c r="G16" s="421" t="b">
        <v>0</v>
      </c>
      <c r="H16" s="421"/>
      <c r="I16" s="421"/>
      <c r="J16" s="421"/>
      <c r="K16" s="7"/>
      <c r="L16" s="332" t="str">
        <f t="shared" si="0"/>
        <v xml:space="preserve"> </v>
      </c>
      <c r="M16" s="1" t="str">
        <f>IF(L16=" "," ",HLOOKUP(L16,SACHAR!$AA$3:$EF$11,7,0))</f>
        <v xml:space="preserve"> </v>
      </c>
      <c r="N16" s="1" t="str">
        <f>IF(L16=" "," ",VLOOKUP(M16,'simlei sachar'!$C$2:$D$152,2,0))</f>
        <v xml:space="preserve"> </v>
      </c>
      <c r="O16" t="str">
        <f>IF(L16=" "," ",HLOOKUP(L16,SACHAR!$AA$3:$EF$11,8,0))</f>
        <v xml:space="preserve"> </v>
      </c>
      <c r="P16" s="333" t="str">
        <f>IF(L16=" "," ",HLOOKUP(L16,SACHAR!$AA$3:$EF$11,4,0))</f>
        <v xml:space="preserve"> </v>
      </c>
      <c r="Q16" s="239" t="str">
        <f>IF(L16=" "," ",HLOOKUP(L16,SACHAR!$AA$3:$EF$11,9,0))</f>
        <v xml:space="preserve"> </v>
      </c>
      <c r="R16" s="192"/>
    </row>
    <row r="17" spans="1:18">
      <c r="A17" s="230" t="s">
        <v>13</v>
      </c>
      <c r="B17" s="231">
        <v>0</v>
      </c>
      <c r="C17" s="7"/>
      <c r="D17" s="421" t="s">
        <v>36</v>
      </c>
      <c r="E17" s="421">
        <v>1961</v>
      </c>
      <c r="F17" s="421">
        <f>VLOOKUP(E17,'simlei sachar'!$C$2:$D$152,2,0)</f>
        <v>1029</v>
      </c>
      <c r="G17" s="421" t="b">
        <v>0</v>
      </c>
      <c r="H17" s="421"/>
      <c r="I17" s="421" t="s">
        <v>96</v>
      </c>
      <c r="J17" s="421"/>
      <c r="K17" s="7"/>
      <c r="L17" s="332" t="str">
        <f t="shared" si="0"/>
        <v xml:space="preserve"> </v>
      </c>
      <c r="M17" s="1" t="str">
        <f>IF(L17=" "," ",HLOOKUP(L17,SACHAR!$AA$3:$EF$11,7,0))</f>
        <v xml:space="preserve"> </v>
      </c>
      <c r="N17" s="1" t="str">
        <f>IF(L17=" "," ",VLOOKUP(M17,'simlei sachar'!$C$2:$D$152,2,0))</f>
        <v xml:space="preserve"> </v>
      </c>
      <c r="O17" t="str">
        <f>IF(L17=" "," ",HLOOKUP(L17,SACHAR!$AA$3:$EF$11,8,0))</f>
        <v xml:space="preserve"> </v>
      </c>
      <c r="P17" s="333" t="str">
        <f>IF(L17=" "," ",HLOOKUP(L17,SACHAR!$AA$3:$EF$11,4,0))</f>
        <v xml:space="preserve"> </v>
      </c>
      <c r="Q17" s="239" t="str">
        <f>IF(L17=" "," ",HLOOKUP(L17,SACHAR!$AA$3:$EF$11,9,0))</f>
        <v xml:space="preserve"> </v>
      </c>
      <c r="R17" s="192"/>
    </row>
    <row r="18" spans="1:18">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18">
      <c r="A19" t="s">
        <v>2</v>
      </c>
      <c r="B19" s="6">
        <v>1</v>
      </c>
      <c r="C19" s="7"/>
      <c r="D19" s="421" t="s">
        <v>35</v>
      </c>
      <c r="E19" s="421">
        <v>4147</v>
      </c>
      <c r="F19" s="421">
        <f>VLOOKUP(E19,'simlei sachar'!$C$2:$D$152,2,0)</f>
        <v>1028</v>
      </c>
      <c r="G19" s="421" t="b">
        <v>0</v>
      </c>
      <c r="H19" s="421">
        <v>2</v>
      </c>
      <c r="I19" s="421" t="s">
        <v>96</v>
      </c>
      <c r="J19" s="571">
        <f>+'tos reforma 4147'!F2</f>
        <v>576</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18">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18">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18">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18">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18">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18">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18" ht="15" thickBot="1">
      <c r="D26" s="421" t="s">
        <v>28</v>
      </c>
      <c r="E26" s="423">
        <v>5253</v>
      </c>
      <c r="F26" s="421">
        <f>VLOOKUP(E26,'simlei sachar'!$C$2:$D$152,2,0)</f>
        <v>1030</v>
      </c>
      <c r="G26" s="421" t="b">
        <v>0</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18" ht="15.6" thickTop="1" thickBot="1">
      <c r="D27" s="421" t="s">
        <v>78</v>
      </c>
      <c r="E27" s="421">
        <v>5254</v>
      </c>
      <c r="F27" s="421">
        <f>VLOOKUP(E27,'simlei sachar'!$C$2:$D$152,2,0)</f>
        <v>8081</v>
      </c>
      <c r="G27" s="421" t="b">
        <v>0</v>
      </c>
      <c r="H27" s="421"/>
      <c r="I27" s="421" t="s">
        <v>594</v>
      </c>
      <c r="J27" s="421"/>
      <c r="K27" s="7"/>
      <c r="R27" s="192"/>
    </row>
    <row r="28" spans="1:18" ht="15.6" thickTop="1" thickBot="1">
      <c r="D28" s="424" t="s">
        <v>1190</v>
      </c>
      <c r="E28" s="564">
        <v>5270</v>
      </c>
      <c r="F28" s="421">
        <f>VLOOKUP(E28,'simlei sachar'!$C$2:$D$152,2,0)</f>
        <v>1162</v>
      </c>
      <c r="G28" s="421" t="b">
        <v>0</v>
      </c>
      <c r="H28" s="421"/>
      <c r="I28" s="421" t="s">
        <v>5311</v>
      </c>
      <c r="J28" s="421"/>
      <c r="K28" s="7"/>
      <c r="M28"/>
      <c r="N28"/>
      <c r="R28" s="192"/>
    </row>
    <row r="29" spans="1:18" ht="16.8" thickTop="1">
      <c r="D29" s="425" t="s">
        <v>1191</v>
      </c>
      <c r="E29" s="427">
        <v>5270</v>
      </c>
      <c r="F29" s="421">
        <f>VLOOKUP(E29,'simlei sachar'!$C$2:$D$152,2,0)</f>
        <v>1162</v>
      </c>
      <c r="G29" s="421" t="b">
        <v>0</v>
      </c>
      <c r="H29" s="421"/>
      <c r="I29" s="421" t="s">
        <v>5311</v>
      </c>
      <c r="J29" s="421"/>
      <c r="K29" s="7"/>
      <c r="M29"/>
      <c r="N29"/>
      <c r="O29" s="233" t="s">
        <v>33</v>
      </c>
      <c r="P29" s="234"/>
      <c r="Q29" s="235">
        <f>+SACHAR!EF11</f>
        <v>5087.7598841598492</v>
      </c>
      <c r="R29" s="232"/>
    </row>
    <row r="30" spans="1:18" ht="16.8" thickBot="1">
      <c r="D30" s="426" t="s">
        <v>1192</v>
      </c>
      <c r="E30" s="565">
        <v>5270</v>
      </c>
      <c r="F30" s="421">
        <f>VLOOKUP(E30,'simlei sachar'!$C$2:$D$152,2,0)</f>
        <v>1162</v>
      </c>
      <c r="G30" s="421" t="b">
        <v>0</v>
      </c>
      <c r="H30" s="421"/>
      <c r="I30" s="421" t="s">
        <v>5311</v>
      </c>
      <c r="J30" s="421"/>
      <c r="K30" s="7"/>
      <c r="M30"/>
      <c r="N30"/>
      <c r="O30" s="9"/>
      <c r="Q30" s="10"/>
      <c r="R30" s="232"/>
    </row>
    <row r="31" spans="1:18" ht="15" thickTop="1">
      <c r="D31" s="434" t="s">
        <v>803</v>
      </c>
      <c r="E31" s="434">
        <v>600</v>
      </c>
      <c r="F31" s="434">
        <f>VLOOKUP(E31,'simlei sachar'!$C$2:$D$152,2,0)</f>
        <v>1370</v>
      </c>
      <c r="G31" s="434" t="b">
        <v>0</v>
      </c>
      <c r="H31" s="434"/>
      <c r="I31" s="434" t="s">
        <v>5340</v>
      </c>
      <c r="J31" s="434"/>
      <c r="K31" s="7"/>
      <c r="M31"/>
      <c r="N31"/>
      <c r="O31" s="9"/>
      <c r="P31" s="6">
        <v>3.8199999999999998E-2</v>
      </c>
      <c r="Q31" s="239">
        <f>+Q29*P31</f>
        <v>194.35242757490622</v>
      </c>
      <c r="R31" s="192"/>
    </row>
    <row r="32" spans="1:18"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5282.1123117347552</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2834.9096777080426</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0</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602" t="s">
        <v>5798</v>
      </c>
      <c r="E61" s="602">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0</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3515.0966513789817</v>
      </c>
      <c r="M2" s="587">
        <f t="shared" ref="M2:M25" si="0">IF(K2=" "," ",+K2*$B$2*$D$2)</f>
        <v>1886.5523727950992</v>
      </c>
    </row>
    <row r="3" spans="1:13" ht="15" thickTop="1">
      <c r="A3" s="545" t="s">
        <v>7</v>
      </c>
      <c r="B3" s="509" t="str">
        <f>VLOOKUP('Netunei Gimlai'!B4,MISRAD!A5:B81,2,0)</f>
        <v>התחבורה</v>
      </c>
      <c r="C3" s="545" t="s">
        <v>16</v>
      </c>
      <c r="D3" s="546" t="str">
        <f>VLOOKUP('Netunei Gimlai'!B9,DERUG!A3:B64,2,0)</f>
        <v>מינהלי - עובדי מדינה</v>
      </c>
      <c r="F3" s="332">
        <f t="shared" ref="F3:F25" si="1">IF(F2=" "," ",IF(G2=99999," ",+F2+1))</f>
        <v>2</v>
      </c>
      <c r="G3" s="1">
        <f>IF(F3=" "," ",HLOOKUP(F3,SACHAR!$AA$3:$EF$11,7,0))</f>
        <v>4544</v>
      </c>
      <c r="H3" s="1">
        <f>IF(F3=" "," ",VLOOKUP(F3,'Netunei Gimlai'!$L$3:$N$19,3,0))</f>
        <v>1007</v>
      </c>
      <c r="I3" t="str">
        <f>IF(F3=" "," ",HLOOKUP(F3,SACHAR!$AA$3:$EF$11,8,0))</f>
        <v>הסכם 2001 / תוספת 3.6</v>
      </c>
      <c r="J3" s="333">
        <f>IF(F3=" "," ",HLOOKUP(F3,SACHAR!$AA$3:$EF$11,4,0))</f>
        <v>3.5999999999999997E-2</v>
      </c>
      <c r="K3" s="192">
        <f>IF(F3=" "," ",HLOOKUP(F3,SACHAR!$AA$3:$EF$11,9,0))</f>
        <v>160.55836672570746</v>
      </c>
      <c r="M3" s="587">
        <f t="shared" si="0"/>
        <v>86.171675421687183</v>
      </c>
    </row>
    <row r="4" spans="1:13" ht="15" thickBot="1">
      <c r="A4" s="547" t="s">
        <v>17</v>
      </c>
      <c r="B4" s="548" t="str">
        <f>VLOOKUP('Netunei Gimlai'!B10,DARGA!A2:B111,2,0)</f>
        <v>16+</v>
      </c>
      <c r="C4" s="547" t="s">
        <v>5727</v>
      </c>
      <c r="D4" s="549">
        <f>+'Netunei Gimlai'!B15</f>
        <v>36.75</v>
      </c>
      <c r="F4" s="332">
        <f t="shared" si="1"/>
        <v>3</v>
      </c>
      <c r="G4" s="1">
        <f>IF(F4=" "," ",HLOOKUP(F4,SACHAR!$AA$3:$EF$11,7,0))</f>
        <v>4550</v>
      </c>
      <c r="H4" s="1">
        <f>IF(F4=" "," ",VLOOKUP(F4,'Netunei Gimlai'!$L$3:$N$19,3,0))</f>
        <v>1034</v>
      </c>
      <c r="I4" t="str">
        <f>IF(F4=" "," ",HLOOKUP(F4,SACHAR!$AA$3:$EF$11,8,0))</f>
        <v>הסכם 2001 אישי</v>
      </c>
      <c r="J4" s="333" t="str">
        <f>IF(F4=" "," ",HLOOKUP(F4,SACHAR!$AA$3:$EF$11,4,0))</f>
        <v xml:space="preserve"> </v>
      </c>
      <c r="K4" s="572">
        <f>IF(F4=" "," ",HLOOKUP(F4,SACHAR!$AA$3:$EF$11,9,0))</f>
        <v>804.25411383551102</v>
      </c>
      <c r="M4" s="587">
        <f t="shared" si="0"/>
        <v>431.64318289551875</v>
      </c>
    </row>
    <row r="5" spans="1:13" ht="15" thickTop="1">
      <c r="A5" s="550" t="s">
        <v>9</v>
      </c>
      <c r="B5" s="554" t="str">
        <f>VLOOKUP('Netunei Gimlai'!B5,'חודש פרישה'!A1:B693,2,0)</f>
        <v>1.1.1997</v>
      </c>
      <c r="C5" s="550" t="s">
        <v>5728</v>
      </c>
      <c r="D5" s="551">
        <f>+SACHAR!C9</f>
        <v>1.2008000000000001</v>
      </c>
      <c r="F5" s="332">
        <f t="shared" si="1"/>
        <v>4</v>
      </c>
      <c r="G5" s="1">
        <f>IF(F5=" "," ",HLOOKUP(F5,SACHAR!$AA$3:$EF$11,7,0))</f>
        <v>4624</v>
      </c>
      <c r="H5" s="1">
        <f>IF(F5=" "," ",VLOOKUP(F5,'Netunei Gimlai'!$L$3:$N$19,3,0))</f>
        <v>1004</v>
      </c>
      <c r="I5" t="str">
        <f>IF(F5=" "," ",HLOOKUP(F5,SACHAR!$AA$3:$EF$11,8,0))</f>
        <v>הסכם 1999</v>
      </c>
      <c r="J5" s="333">
        <f>IF(F5=" "," ",HLOOKUP(F5,SACHAR!$AA$3:$EF$11,4,0))</f>
        <v>0.04</v>
      </c>
      <c r="K5" s="192">
        <f>IF(F5=" "," ",HLOOKUP(F5,SACHAR!$AA$3:$EF$11,9,0))</f>
        <v>140.60386605515927</v>
      </c>
      <c r="M5" s="587">
        <f t="shared" si="0"/>
        <v>75.462094911803973</v>
      </c>
    </row>
    <row r="6" spans="1:13" ht="15" thickBot="1">
      <c r="A6" s="552" t="s">
        <v>5358</v>
      </c>
      <c r="B6" s="553">
        <f>+SACHAR!E9</f>
        <v>12.2026</v>
      </c>
      <c r="C6" s="552" t="s">
        <v>15</v>
      </c>
      <c r="D6" s="458">
        <f>+'Netunei Gimlai'!B8</f>
        <v>227</v>
      </c>
      <c r="F6" s="332">
        <f t="shared" si="1"/>
        <v>5</v>
      </c>
      <c r="G6" s="1">
        <f>IF(F6=" "," ",HLOOKUP(F6,SACHAR!$AA$3:$EF$11,7,0))</f>
        <v>99998</v>
      </c>
      <c r="H6" s="1" t="str">
        <f>IF(F6=" "," ",VLOOKUP(F6,'Netunei Gimlai'!$L$3:$N$19,3,0))</f>
        <v>ללא</v>
      </c>
      <c r="I6" t="str">
        <f>IF(F6=" "," ",HLOOKUP(F6,SACHAR!$AA$3:$EF$11,8,0))</f>
        <v>עיגול לחישוב מינימום</v>
      </c>
      <c r="J6" s="333" t="str">
        <f>IF(F6=" "," ",HLOOKUP(F6,SACHAR!$AA$3:$EF$11,4,0))</f>
        <v xml:space="preserve"> </v>
      </c>
      <c r="K6" s="192">
        <f>IF(F6=" "," ",HLOOKUP(F6,SACHAR!$AA$3:$EF$11,9,0))</f>
        <v>1E-3</v>
      </c>
      <c r="M6" s="587">
        <f t="shared" si="0"/>
        <v>5.3669999999999998E-4</v>
      </c>
    </row>
    <row r="7" spans="1:13" ht="15" thickTop="1">
      <c r="F7" s="332">
        <f t="shared" si="1"/>
        <v>6</v>
      </c>
      <c r="G7" s="1">
        <f>IF(F7=" "," ",HLOOKUP(F7,SACHAR!$AA$3:$EF$11,7,0))</f>
        <v>1699</v>
      </c>
      <c r="H7" s="1">
        <f>IF(F7=" "," ",VLOOKUP(F7,'Netunei Gimlai'!$L$3:$N$19,3,0))</f>
        <v>1014</v>
      </c>
      <c r="I7" t="str">
        <f>IF(F7=" "," ",HLOOKUP(F7,SACHAR!$AA$3:$EF$11,8,0))</f>
        <v>תוספת חוק מינימום</v>
      </c>
      <c r="J7" s="333" t="str">
        <f>IF(F7=" "," ",HLOOKUP(F7,SACHAR!$AA$3:$EF$11,4,0))</f>
        <v xml:space="preserve"> </v>
      </c>
      <c r="K7" s="192">
        <f>IF(F7=" "," ",HLOOKUP(F7,SACHAR!$AA$3:$EF$11,9,0))</f>
        <v>467.24588616448909</v>
      </c>
      <c r="M7" s="587">
        <f t="shared" si="0"/>
        <v>250.77086710448128</v>
      </c>
    </row>
    <row r="8" spans="1:13">
      <c r="F8" s="332">
        <f t="shared" si="1"/>
        <v>7</v>
      </c>
      <c r="G8" s="1">
        <f>IF(F8=" "," ",HLOOKUP(F8,SACHAR!$AA$3:$EF$11,7,0))</f>
        <v>99999</v>
      </c>
      <c r="H8" s="1" t="str">
        <f>IF(F8=" "," ",VLOOKUP(F8,'Netunei Gimlai'!$L$3:$N$19,3,0))</f>
        <v>ללא</v>
      </c>
      <c r="I8" t="str">
        <f>IF(F8=" "," ",HLOOKUP(F8,SACHAR!$AA$3:$EF$11,8,0))</f>
        <v>סה"כ מרכיבי שכר שוטף</v>
      </c>
      <c r="J8" s="333" t="str">
        <f>IF(F8=" "," ",HLOOKUP(F8,SACHAR!$AA$3:$EF$11,4,0))</f>
        <v xml:space="preserve"> </v>
      </c>
      <c r="K8" s="192">
        <f>IF(F8=" "," ",HLOOKUP(F8,SACHAR!$AA$3:$EF$11,9,0))</f>
        <v>5087.7598841598492</v>
      </c>
      <c r="M8" s="587">
        <f t="shared" si="0"/>
        <v>2730.6007298285908</v>
      </c>
    </row>
    <row r="9" spans="1:13">
      <c r="E9" s="192"/>
      <c r="F9" s="332" t="str">
        <f t="shared" si="1"/>
        <v xml:space="preserve"> </v>
      </c>
      <c r="G9" s="1" t="str">
        <f>IF(F9=" "," ",HLOOKUP(F9,SACHAR!$AA$3:$EF$11,7,0))</f>
        <v xml:space="preserve"> </v>
      </c>
      <c r="H9" s="1" t="str">
        <f>IF(F9=" "," ",VLOOKUP(F9,'Netunei Gimlai'!$L$3:$N$19,3,0))</f>
        <v xml:space="preserve"> </v>
      </c>
      <c r="I9" t="str">
        <f>IF(F9=" "," ",HLOOKUP(F9,SACHAR!$AA$3:$EF$11,8,0))</f>
        <v xml:space="preserve"> </v>
      </c>
      <c r="J9" s="333" t="str">
        <f>IF(F9=" "," ",HLOOKUP(F9,SACHAR!$AA$3:$EF$11,4,0))</f>
        <v xml:space="preserve"> </v>
      </c>
      <c r="K9" s="192" t="str">
        <f>IF(F9=" "," ",HLOOKUP(F9,SACHAR!$AA$3:$EF$11,9,0))</f>
        <v xml:space="preserve"> </v>
      </c>
      <c r="M9" s="587" t="str">
        <f t="shared" si="0"/>
        <v xml:space="preserve"> </v>
      </c>
    </row>
    <row r="10" spans="1:13" ht="16.8" customHeight="1">
      <c r="E10" s="192"/>
      <c r="F10" s="332" t="str">
        <f t="shared" si="1"/>
        <v xml:space="preserve"> </v>
      </c>
      <c r="G10" s="1" t="str">
        <f>IF(F10=" "," ",HLOOKUP(F10,SACHAR!$AA$3:$EF$11,7,0))</f>
        <v xml:space="preserve"> </v>
      </c>
      <c r="H10" s="1" t="str">
        <f>IF(F10=" "," ",VLOOKUP(F10,'Netunei Gimlai'!$L$3:$N$19,3,0))</f>
        <v xml:space="preserve"> </v>
      </c>
      <c r="I10" t="str">
        <f>IF(F10=" "," ",HLOOKUP(F10,SACHAR!$AA$3:$EF$11,8,0))</f>
        <v xml:space="preserve"> </v>
      </c>
      <c r="J10" s="333" t="str">
        <f>IF(F10=" "," ",HLOOKUP(F10,SACHAR!$AA$3:$EF$11,4,0))</f>
        <v xml:space="preserve"> </v>
      </c>
      <c r="K10" s="192" t="str">
        <f>IF(F10=" "," ",HLOOKUP(F10,SACHAR!$AA$3:$EF$11,9,0))</f>
        <v xml:space="preserve"> </v>
      </c>
      <c r="M10" s="587" t="str">
        <f t="shared" si="0"/>
        <v xml:space="preserve"> </v>
      </c>
    </row>
    <row r="11" spans="1:13" ht="15.6" customHeight="1">
      <c r="E11" s="192"/>
      <c r="F11" s="332" t="str">
        <f t="shared" si="1"/>
        <v xml:space="preserve"> </v>
      </c>
      <c r="G11" s="1" t="str">
        <f>IF(F11=" "," ",HLOOKUP(F11,SACHAR!$AA$3:$EF$11,7,0))</f>
        <v xml:space="preserve"> </v>
      </c>
      <c r="H11" s="1" t="str">
        <f>IF(F11=" "," ",VLOOKUP(F11,'Netunei Gimlai'!$L$3:$N$19,3,0))</f>
        <v xml:space="preserve"> </v>
      </c>
      <c r="I11" t="str">
        <f>IF(F11=" "," ",HLOOKUP(F11,SACHAR!$AA$3:$EF$11,8,0))</f>
        <v xml:space="preserve"> </v>
      </c>
      <c r="J11" s="333" t="str">
        <f>IF(F11=" "," ",HLOOKUP(F11,SACHAR!$AA$3:$EF$11,4,0))</f>
        <v xml:space="preserve"> </v>
      </c>
      <c r="K11" s="192" t="str">
        <f>IF(F11=" "," ",HLOOKUP(F11,SACHAR!$AA$3:$EF$11,9,0))</f>
        <v xml:space="preserve"> </v>
      </c>
      <c r="M11" s="587" t="str">
        <f t="shared" si="0"/>
        <v xml:space="preserve"> </v>
      </c>
    </row>
    <row r="12" spans="1:13" ht="16.2" customHeight="1">
      <c r="E12" s="192"/>
      <c r="F12" s="332" t="str">
        <f t="shared" si="1"/>
        <v xml:space="preserve"> </v>
      </c>
      <c r="G12" s="1" t="str">
        <f>IF(F12=" "," ",HLOOKUP(F12,SACHAR!$AA$3:$EF$11,7,0))</f>
        <v xml:space="preserve"> </v>
      </c>
      <c r="H12" s="1" t="str">
        <f>IF(F12=" "," ",VLOOKUP(F12,'Netunei Gimlai'!$L$3:$N$19,3,0))</f>
        <v xml:space="preserve"> </v>
      </c>
      <c r="I12" t="str">
        <f>IF(F12=" "," ",HLOOKUP(F12,SACHAR!$AA$3:$EF$11,8,0))</f>
        <v xml:space="preserve"> </v>
      </c>
      <c r="J12" s="333" t="str">
        <f>IF(F12=" "," ",HLOOKUP(F12,SACHAR!$AA$3:$EF$11,4,0))</f>
        <v xml:space="preserve"> </v>
      </c>
      <c r="K12" s="192" t="str">
        <f>IF(F12=" "," ",HLOOKUP(F12,SACHAR!$AA$3:$EF$11,9,0))</f>
        <v xml:space="preserve"> </v>
      </c>
      <c r="M12" s="587" t="str">
        <f t="shared" si="0"/>
        <v xml:space="preserve"> </v>
      </c>
    </row>
    <row r="13" spans="1:13">
      <c r="E13" s="192"/>
      <c r="F13" s="332" t="str">
        <f t="shared" si="1"/>
        <v xml:space="preserve"> </v>
      </c>
      <c r="G13" s="1" t="str">
        <f>IF(F13=" "," ",HLOOKUP(F13,SACHAR!$AA$3:$EF$11,7,0))</f>
        <v xml:space="preserve"> </v>
      </c>
      <c r="H13" s="1" t="str">
        <f>IF(F13=" "," ",VLOOKUP(F13,'Netunei Gimlai'!$L$3:$N$19,3,0))</f>
        <v xml:space="preserve"> </v>
      </c>
      <c r="I13" t="str">
        <f>IF(F13=" "," ",HLOOKUP(F13,SACHAR!$AA$3:$EF$11,8,0))</f>
        <v xml:space="preserve"> </v>
      </c>
      <c r="J13" s="333" t="str">
        <f>IF(F13=" "," ",HLOOKUP(F13,SACHAR!$AA$3:$EF$11,4,0))</f>
        <v xml:space="preserve"> </v>
      </c>
      <c r="K13" s="192" t="str">
        <f>IF(F13=" "," ",HLOOKUP(F13,SACHAR!$AA$3:$EF$11,9,0))</f>
        <v xml:space="preserve"> </v>
      </c>
      <c r="M13" s="587" t="str">
        <f t="shared" si="0"/>
        <v xml:space="preserve"> </v>
      </c>
    </row>
    <row r="14" spans="1:13" ht="16.2" customHeight="1">
      <c r="E14" s="192"/>
      <c r="F14" s="332" t="str">
        <f t="shared" si="1"/>
        <v xml:space="preserve"> </v>
      </c>
      <c r="G14" s="1" t="str">
        <f>IF(F14=" "," ",HLOOKUP(F14,SACHAR!$AA$3:$EF$11,7,0))</f>
        <v xml:space="preserve"> </v>
      </c>
      <c r="H14" s="1" t="str">
        <f>IF(F14=" "," ",VLOOKUP(F14,'Netunei Gimlai'!$L$3:$N$19,3,0))</f>
        <v xml:space="preserve"> </v>
      </c>
      <c r="I14" t="str">
        <f>IF(F14=" "," ",HLOOKUP(F14,SACHAR!$AA$3:$EF$11,8,0))</f>
        <v xml:space="preserve"> </v>
      </c>
      <c r="J14" s="333" t="str">
        <f>IF(F14=" "," ",HLOOKUP(F14,SACHAR!$AA$3:$EF$11,4,0))</f>
        <v xml:space="preserve"> </v>
      </c>
      <c r="K14" s="192" t="str">
        <f>IF(F14=" "," ",HLOOKUP(F14,SACHAR!$AA$3:$EF$11,9,0))</f>
        <v xml:space="preserve"> </v>
      </c>
      <c r="M14" s="587" t="str">
        <f t="shared" si="0"/>
        <v xml:space="preserve"> </v>
      </c>
    </row>
    <row r="15" spans="1:13" ht="15.6" customHeight="1">
      <c r="E15" s="192"/>
      <c r="F15" s="332" t="str">
        <f t="shared" si="1"/>
        <v xml:space="preserve"> </v>
      </c>
      <c r="G15" s="1" t="str">
        <f>IF(F15=" "," ",HLOOKUP(F15,SACHAR!$AA$3:$EF$11,7,0))</f>
        <v xml:space="preserve"> </v>
      </c>
      <c r="H15" s="1" t="str">
        <f>IF(F15=" "," ",VLOOKUP(F15,'Netunei Gimlai'!$L$3:$N$19,3,0))</f>
        <v xml:space="preserve"> </v>
      </c>
      <c r="I15" t="str">
        <f>IF(F15=" "," ",HLOOKUP(F15,SACHAR!$AA$3:$EF$11,8,0))</f>
        <v xml:space="preserve"> </v>
      </c>
      <c r="J15" s="333" t="str">
        <f>IF(F15=" "," ",HLOOKUP(F15,SACHAR!$AA$3:$EF$11,4,0))</f>
        <v xml:space="preserve"> </v>
      </c>
      <c r="K15" s="192" t="str">
        <f>IF(F15=" "," ",HLOOKUP(F15,SACHAR!$AA$3:$EF$11,9,0))</f>
        <v xml:space="preserve"> </v>
      </c>
      <c r="M15" s="587" t="str">
        <f t="shared" si="0"/>
        <v xml:space="preserve"> </v>
      </c>
    </row>
    <row r="16" spans="1:13">
      <c r="E16" s="192"/>
      <c r="F16" s="332" t="str">
        <f t="shared" si="1"/>
        <v xml:space="preserve"> </v>
      </c>
      <c r="G16" s="1" t="str">
        <f>IF(F16=" "," ",HLOOKUP(F16,SACHAR!$AA$3:$EF$11,7,0))</f>
        <v xml:space="preserve"> </v>
      </c>
      <c r="H16" s="1" t="str">
        <f>IF(F16=" "," ",VLOOKUP(F16,'Netunei Gimlai'!$L$3:$N$19,3,0))</f>
        <v xml:space="preserve"> </v>
      </c>
      <c r="I16" t="str">
        <f>IF(F16=" "," ",HLOOKUP(F16,SACHAR!$AA$3:$EF$11,8,0))</f>
        <v xml:space="preserve"> </v>
      </c>
      <c r="J16" s="333" t="str">
        <f>IF(F16=" "," ",HLOOKUP(F16,SACHAR!$AA$3:$EF$11,4,0))</f>
        <v xml:space="preserve"> </v>
      </c>
      <c r="K16" s="192" t="str">
        <f>IF(F16=" "," ",HLOOKUP(F16,SACHAR!$AA$3:$EF$11,9,0))</f>
        <v xml:space="preserve"> </v>
      </c>
      <c r="M16" s="587" t="str">
        <f t="shared" si="0"/>
        <v xml:space="preserve"> </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5087.7598841598492</v>
      </c>
    </row>
    <row r="29" spans="5:13">
      <c r="E29" s="192"/>
      <c r="I29" s="9"/>
      <c r="K29" s="10"/>
    </row>
    <row r="30" spans="5:13">
      <c r="E30" s="192"/>
      <c r="I30" s="9"/>
      <c r="J30" s="6">
        <v>3.8199999999999998E-2</v>
      </c>
      <c r="K30" s="239">
        <f>+K28*J30</f>
        <v>194.35242757490622</v>
      </c>
    </row>
    <row r="31" spans="5:13" ht="15" thickBot="1">
      <c r="E31" s="192"/>
      <c r="I31" s="9"/>
      <c r="J31" s="6"/>
      <c r="K31" s="239"/>
    </row>
    <row r="32" spans="5:13" ht="15" thickTop="1">
      <c r="E32" s="192"/>
      <c r="I32" s="233" t="s">
        <v>37</v>
      </c>
      <c r="J32" s="234"/>
      <c r="K32" s="235">
        <f>+K28+K30</f>
        <v>5282.1123117347552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2834.9096777080426</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DP1" zoomScaleNormal="100" workbookViewId="0">
      <selection activeCell="EE8" sqref="EE8"/>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0</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0</v>
      </c>
      <c r="AX3">
        <f t="shared" ref="AX3" si="16">IF(AX5=1,AW4+1,0)</f>
        <v>0</v>
      </c>
      <c r="AY3">
        <f t="shared" ref="AY3" si="17">IF(AY5=1,AX4+1,0)</f>
        <v>0</v>
      </c>
      <c r="AZ3">
        <f t="shared" ref="AZ3" si="18">IF(AZ5=1,AY4+1,0)</f>
        <v>0</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2</v>
      </c>
      <c r="DA3">
        <f t="shared" ref="DA3" si="71">IF(DA5=1,CZ4+1,0)</f>
        <v>3</v>
      </c>
      <c r="DB3">
        <f t="shared" ref="DB3" si="72">IF(DB5=1,DA4+1,0)</f>
        <v>4</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0</v>
      </c>
      <c r="DI3">
        <f t="shared" ref="DI3" si="79">IF(DI5=1,DH4+1,0)</f>
        <v>0</v>
      </c>
      <c r="DJ3">
        <f t="shared" ref="DJ3" si="80">IF(DJ5=1,DI4+1,0)</f>
        <v>0</v>
      </c>
      <c r="DK3">
        <f t="shared" ref="DK3" si="81">IF(DK5=1,DJ4+1,0)</f>
        <v>0</v>
      </c>
      <c r="DL3">
        <f t="shared" ref="DL3" si="82">IF(DL5=1,DK4+1,0)</f>
        <v>0</v>
      </c>
      <c r="DM3">
        <f t="shared" ref="DM3" si="83">IF(DM5=1,DL4+1,0)</f>
        <v>0</v>
      </c>
      <c r="DN3">
        <f t="shared" ref="DN3" si="84">IF(DN5=1,DM4+1,0)</f>
        <v>0</v>
      </c>
      <c r="DO3">
        <f t="shared" ref="DO3" si="85">IF(DO5=1,DN4+1,0)</f>
        <v>0</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0</v>
      </c>
      <c r="DV3">
        <f t="shared" ref="DV3" si="92">IF(DV5=1,DU4+1,0)</f>
        <v>0</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5</v>
      </c>
      <c r="EC3">
        <f t="shared" ref="EC3" si="99">IF(EC5=1,EB4+1,0)</f>
        <v>6</v>
      </c>
      <c r="ED3">
        <f t="shared" ref="ED3" si="100">IF(ED5=1,EC4+1,0)</f>
        <v>0</v>
      </c>
      <c r="EE3">
        <f t="shared" ref="EE3" si="101">IF(EE5=1,ED4+1,0)</f>
        <v>0</v>
      </c>
      <c r="EF3">
        <f t="shared" ref="EF3" si="102">IF(EF5=1,EE4+1,0)</f>
        <v>7</v>
      </c>
      <c r="EG3">
        <f t="shared" ref="EG3" si="103">IF(EG5=1,EF4+1,0)</f>
        <v>8</v>
      </c>
      <c r="EH3">
        <f t="shared" ref="EH3" si="104">IF(EH5=1,EG4+1,0)</f>
        <v>9</v>
      </c>
      <c r="EI3">
        <f t="shared" ref="EI3" si="105">IF(EI5=1,EH4+1,0)</f>
        <v>0</v>
      </c>
      <c r="EJ3">
        <f t="shared" ref="EJ3" si="106">IF(EJ5=1,EI4+1,0)</f>
        <v>0</v>
      </c>
    </row>
    <row r="4" spans="1:142">
      <c r="Y4" t="s">
        <v>43</v>
      </c>
      <c r="AA4">
        <f>IF(AA5=1,1,0)</f>
        <v>1</v>
      </c>
      <c r="AB4">
        <f>IF(AB5=1,AA4+1,AA4)</f>
        <v>1</v>
      </c>
      <c r="AC4">
        <f t="shared" ref="AC4:AF4" si="107">IF(AC5=1,AB4+1,AB4)</f>
        <v>1</v>
      </c>
      <c r="AD4">
        <f t="shared" si="107"/>
        <v>1</v>
      </c>
      <c r="AE4">
        <f t="shared" si="107"/>
        <v>1</v>
      </c>
      <c r="AF4">
        <f t="shared" si="107"/>
        <v>1</v>
      </c>
      <c r="AG4">
        <f t="shared" ref="AG4:AI4" si="108">IF(AG5=1,AF4+1,AF4)</f>
        <v>1</v>
      </c>
      <c r="AH4">
        <f t="shared" si="108"/>
        <v>1</v>
      </c>
      <c r="AI4">
        <f t="shared" si="108"/>
        <v>1</v>
      </c>
      <c r="AJ4">
        <f t="shared" ref="AJ4" si="109">IF(AJ5=1,AI4+1,AI4)</f>
        <v>1</v>
      </c>
      <c r="AK4">
        <f t="shared" ref="AK4" si="110">IF(AK5=1,AJ4+1,AJ4)</f>
        <v>1</v>
      </c>
      <c r="AL4">
        <f t="shared" ref="AL4" si="111">IF(AL5=1,AK4+1,AK4)</f>
        <v>1</v>
      </c>
      <c r="AM4">
        <f t="shared" ref="AM4" si="112">IF(AM5=1,AL4+1,AL4)</f>
        <v>1</v>
      </c>
      <c r="AN4">
        <f t="shared" ref="AN4" si="113">IF(AN5=1,AM4+1,AM4)</f>
        <v>1</v>
      </c>
      <c r="AO4">
        <f t="shared" ref="AO4" si="114">IF(AO5=1,AN4+1,AN4)</f>
        <v>1</v>
      </c>
      <c r="AP4">
        <f t="shared" ref="AP4" si="115">IF(AP5=1,AO4+1,AO4)</f>
        <v>1</v>
      </c>
      <c r="AQ4">
        <f t="shared" ref="AQ4" si="116">IF(AQ5=1,AP4+1,AP4)</f>
        <v>1</v>
      </c>
      <c r="AR4">
        <f t="shared" ref="AR4" si="117">IF(AR5=1,AQ4+1,AQ4)</f>
        <v>1</v>
      </c>
      <c r="AS4">
        <f t="shared" ref="AS4" si="118">IF(AS5=1,AR4+1,AR4)</f>
        <v>1</v>
      </c>
      <c r="AT4">
        <f t="shared" ref="AT4" si="119">IF(AT5=1,AS4+1,AS4)</f>
        <v>1</v>
      </c>
      <c r="AU4">
        <f t="shared" ref="AU4" si="120">IF(AU5=1,AT4+1,AT4)</f>
        <v>1</v>
      </c>
      <c r="AV4">
        <f t="shared" ref="AV4" si="121">IF(AV5=1,AU4+1,AU4)</f>
        <v>1</v>
      </c>
      <c r="AW4">
        <f t="shared" ref="AW4" si="122">IF(AW5=1,AV4+1,AV4)</f>
        <v>1</v>
      </c>
      <c r="AX4">
        <f t="shared" ref="AX4" si="123">IF(AX5=1,AW4+1,AW4)</f>
        <v>1</v>
      </c>
      <c r="AY4">
        <f t="shared" ref="AY4" si="124">IF(AY5=1,AX4+1,AX4)</f>
        <v>1</v>
      </c>
      <c r="AZ4">
        <f t="shared" ref="AZ4" si="125">IF(AZ5=1,AY4+1,AY4)</f>
        <v>1</v>
      </c>
      <c r="BA4">
        <f t="shared" ref="BA4" si="126">IF(BA5=1,AZ4+1,AZ4)</f>
        <v>1</v>
      </c>
      <c r="BB4">
        <f t="shared" ref="BB4" si="127">IF(BB5=1,BA4+1,BA4)</f>
        <v>1</v>
      </c>
      <c r="BC4">
        <f t="shared" ref="BC4" si="128">IF(BC5=1,BB4+1,BB4)</f>
        <v>1</v>
      </c>
      <c r="BD4">
        <f t="shared" ref="BD4" si="129">IF(BD5=1,BC4+1,BC4)</f>
        <v>1</v>
      </c>
      <c r="BE4">
        <f t="shared" ref="BE4" si="130">IF(BE5=1,BD4+1,BD4)</f>
        <v>1</v>
      </c>
      <c r="BF4">
        <f t="shared" ref="BF4" si="131">IF(BF5=1,BE4+1,BE4)</f>
        <v>1</v>
      </c>
      <c r="BG4">
        <f t="shared" ref="BG4" si="132">IF(BG5=1,BF4+1,BF4)</f>
        <v>1</v>
      </c>
      <c r="BH4">
        <f t="shared" ref="BH4" si="133">IF(BH5=1,BG4+1,BG4)</f>
        <v>1</v>
      </c>
      <c r="BI4">
        <f t="shared" ref="BI4" si="134">IF(BI5=1,BH4+1,BH4)</f>
        <v>1</v>
      </c>
      <c r="BJ4">
        <f t="shared" ref="BJ4" si="135">IF(BJ5=1,BI4+1,BI4)</f>
        <v>1</v>
      </c>
      <c r="BK4">
        <f t="shared" ref="BK4" si="136">IF(BK5=1,BJ4+1,BJ4)</f>
        <v>1</v>
      </c>
      <c r="BL4">
        <f t="shared" ref="BL4" si="137">IF(BL5=1,BK4+1,BK4)</f>
        <v>1</v>
      </c>
      <c r="BM4">
        <f t="shared" ref="BM4" si="138">IF(BM5=1,BL4+1,BL4)</f>
        <v>1</v>
      </c>
      <c r="BN4">
        <f t="shared" ref="BN4" si="139">IF(BN5=1,BM4+1,BM4)</f>
        <v>1</v>
      </c>
      <c r="BO4">
        <f t="shared" ref="BO4" si="140">IF(BO5=1,BN4+1,BN4)</f>
        <v>1</v>
      </c>
      <c r="BP4">
        <f t="shared" ref="BP4" si="141">IF(BP5=1,BO4+1,BO4)</f>
        <v>1</v>
      </c>
      <c r="BQ4">
        <f t="shared" ref="BQ4" si="142">IF(BQ5=1,BP4+1,BP4)</f>
        <v>1</v>
      </c>
      <c r="BR4">
        <f t="shared" ref="BR4" si="143">IF(BR5=1,BQ4+1,BQ4)</f>
        <v>1</v>
      </c>
      <c r="BS4">
        <f t="shared" ref="BS4" si="144">IF(BS5=1,BR4+1,BR4)</f>
        <v>1</v>
      </c>
      <c r="BT4">
        <f t="shared" ref="BT4" si="145">IF(BT5=1,BS4+1,BS4)</f>
        <v>1</v>
      </c>
      <c r="BU4">
        <f t="shared" ref="BU4" si="146">IF(BU5=1,BT4+1,BT4)</f>
        <v>1</v>
      </c>
      <c r="BV4">
        <f t="shared" ref="BV4" si="147">IF(BV5=1,BU4+1,BU4)</f>
        <v>1</v>
      </c>
      <c r="BW4">
        <f t="shared" ref="BW4" si="148">IF(BW5=1,BV4+1,BV4)</f>
        <v>1</v>
      </c>
      <c r="BX4">
        <f t="shared" ref="BX4" si="149">IF(BX5=1,BW4+1,BW4)</f>
        <v>1</v>
      </c>
      <c r="BY4">
        <f t="shared" ref="BY4" si="150">IF(BY5=1,BX4+1,BX4)</f>
        <v>1</v>
      </c>
      <c r="BZ4">
        <f t="shared" ref="BZ4" si="151">IF(BZ5=1,BY4+1,BY4)</f>
        <v>1</v>
      </c>
      <c r="CA4">
        <f t="shared" ref="CA4" si="152">IF(CA5=1,BZ4+1,BZ4)</f>
        <v>1</v>
      </c>
      <c r="CB4">
        <f t="shared" ref="CB4" si="153">IF(CB5=1,CA4+1,CA4)</f>
        <v>1</v>
      </c>
      <c r="CC4">
        <f t="shared" ref="CC4" si="154">IF(CC5=1,CB4+1,CB4)</f>
        <v>1</v>
      </c>
      <c r="CD4">
        <f t="shared" ref="CD4" si="155">IF(CD5=1,CC4+1,CC4)</f>
        <v>1</v>
      </c>
      <c r="CE4">
        <f t="shared" ref="CE4" si="156">IF(CE5=1,CD4+1,CD4)</f>
        <v>1</v>
      </c>
      <c r="CF4">
        <f t="shared" ref="CF4" si="157">IF(CF5=1,CE4+1,CE4)</f>
        <v>1</v>
      </c>
      <c r="CG4">
        <f t="shared" ref="CG4" si="158">IF(CG5=1,CF4+1,CF4)</f>
        <v>1</v>
      </c>
      <c r="CH4">
        <f t="shared" ref="CH4" si="159">IF(CH5=1,CG4+1,CG4)</f>
        <v>1</v>
      </c>
      <c r="CI4">
        <f t="shared" ref="CI4" si="160">IF(CI5=1,CH4+1,CH4)</f>
        <v>1</v>
      </c>
      <c r="CJ4">
        <f t="shared" ref="CJ4" si="161">IF(CJ5=1,CI4+1,CI4)</f>
        <v>1</v>
      </c>
      <c r="CK4">
        <f t="shared" ref="CK4" si="162">IF(CK5=1,CJ4+1,CJ4)</f>
        <v>1</v>
      </c>
      <c r="CL4">
        <f t="shared" ref="CL4" si="163">IF(CL5=1,CK4+1,CK4)</f>
        <v>1</v>
      </c>
      <c r="CM4">
        <f t="shared" ref="CM4" si="164">IF(CM5=1,CL4+1,CL4)</f>
        <v>1</v>
      </c>
      <c r="CN4">
        <f t="shared" ref="CN4" si="165">IF(CN5=1,CM4+1,CM4)</f>
        <v>1</v>
      </c>
      <c r="CO4">
        <f t="shared" ref="CO4" si="166">IF(CO5=1,CN4+1,CN4)</f>
        <v>1</v>
      </c>
      <c r="CP4">
        <f t="shared" ref="CP4" si="167">IF(CP5=1,CO4+1,CO4)</f>
        <v>1</v>
      </c>
      <c r="CQ4">
        <f t="shared" ref="CQ4" si="168">IF(CQ5=1,CP4+1,CP4)</f>
        <v>1</v>
      </c>
      <c r="CR4">
        <f t="shared" ref="CR4" si="169">IF(CR5=1,CQ4+1,CQ4)</f>
        <v>1</v>
      </c>
      <c r="CS4">
        <f t="shared" ref="CS4" si="170">IF(CS5=1,CR4+1,CR4)</f>
        <v>1</v>
      </c>
      <c r="CT4">
        <f t="shared" ref="CT4" si="171">IF(CT5=1,CS4+1,CS4)</f>
        <v>1</v>
      </c>
      <c r="CU4">
        <f t="shared" ref="CU4" si="172">IF(CU5=1,CT4+1,CT4)</f>
        <v>1</v>
      </c>
      <c r="CV4">
        <f t="shared" ref="CV4" si="173">IF(CV5=1,CU4+1,CU4)</f>
        <v>1</v>
      </c>
      <c r="CW4">
        <f t="shared" ref="CW4" si="174">IF(CW5=1,CV4+1,CV4)</f>
        <v>1</v>
      </c>
      <c r="CX4">
        <f t="shared" ref="CX4" si="175">IF(CX5=1,CW4+1,CW4)</f>
        <v>1</v>
      </c>
      <c r="CY4">
        <f t="shared" ref="CY4" si="176">IF(CY5=1,CX4+1,CX4)</f>
        <v>1</v>
      </c>
      <c r="CZ4">
        <f t="shared" ref="CZ4" si="177">IF(CZ5=1,CY4+1,CY4)</f>
        <v>2</v>
      </c>
      <c r="DA4">
        <f t="shared" ref="DA4" si="178">IF(DA5=1,CZ4+1,CZ4)</f>
        <v>3</v>
      </c>
      <c r="DB4">
        <f t="shared" ref="DB4" si="179">IF(DB5=1,DA4+1,DA4)</f>
        <v>4</v>
      </c>
      <c r="DC4">
        <f t="shared" ref="DC4" si="180">IF(DC5=1,DB4+1,DB4)</f>
        <v>4</v>
      </c>
      <c r="DD4">
        <f t="shared" ref="DD4" si="181">IF(DD5=1,DC4+1,DC4)</f>
        <v>4</v>
      </c>
      <c r="DE4">
        <f t="shared" ref="DE4" si="182">IF(DE5=1,DD4+1,DD4)</f>
        <v>4</v>
      </c>
      <c r="DF4">
        <f t="shared" ref="DF4" si="183">IF(DF5=1,DE4+1,DE4)</f>
        <v>4</v>
      </c>
      <c r="DG4">
        <f t="shared" ref="DG4" si="184">IF(DG5=1,DF4+1,DF4)</f>
        <v>4</v>
      </c>
      <c r="DH4">
        <f t="shared" ref="DH4" si="185">IF(DH5=1,DG4+1,DG4)</f>
        <v>4</v>
      </c>
      <c r="DI4">
        <f t="shared" ref="DI4" si="186">IF(DI5=1,DH4+1,DH4)</f>
        <v>4</v>
      </c>
      <c r="DJ4">
        <f t="shared" ref="DJ4" si="187">IF(DJ5=1,DI4+1,DI4)</f>
        <v>4</v>
      </c>
      <c r="DK4">
        <f t="shared" ref="DK4" si="188">IF(DK5=1,DJ4+1,DJ4)</f>
        <v>4</v>
      </c>
      <c r="DL4">
        <f t="shared" ref="DL4" si="189">IF(DL5=1,DK4+1,DK4)</f>
        <v>4</v>
      </c>
      <c r="DM4">
        <f t="shared" ref="DM4" si="190">IF(DM5=1,DL4+1,DL4)</f>
        <v>4</v>
      </c>
      <c r="DN4">
        <f t="shared" ref="DN4" si="191">IF(DN5=1,DM4+1,DM4)</f>
        <v>4</v>
      </c>
      <c r="DO4">
        <f t="shared" ref="DO4" si="192">IF(DO5=1,DN4+1,DN4)</f>
        <v>4</v>
      </c>
      <c r="DP4">
        <f t="shared" ref="DP4" si="193">IF(DP5=1,DO4+1,DO4)</f>
        <v>4</v>
      </c>
      <c r="DQ4">
        <f t="shared" ref="DQ4" si="194">IF(DQ5=1,DP4+1,DP4)</f>
        <v>4</v>
      </c>
      <c r="DR4">
        <f t="shared" ref="DR4" si="195">IF(DR5=1,DQ4+1,DQ4)</f>
        <v>4</v>
      </c>
      <c r="DS4">
        <f t="shared" ref="DS4" si="196">IF(DS5=1,DR4+1,DR4)</f>
        <v>4</v>
      </c>
      <c r="DT4">
        <f t="shared" ref="DT4" si="197">IF(DT5=1,DS4+1,DS4)</f>
        <v>4</v>
      </c>
      <c r="DU4">
        <f t="shared" ref="DU4" si="198">IF(DU5=1,DT4+1,DT4)</f>
        <v>4</v>
      </c>
      <c r="DV4">
        <f t="shared" ref="DV4" si="199">IF(DV5=1,DU4+1,DU4)</f>
        <v>4</v>
      </c>
      <c r="DW4">
        <f t="shared" ref="DW4" si="200">IF(DW5=1,DV4+1,DV4)</f>
        <v>4</v>
      </c>
      <c r="DX4">
        <f t="shared" ref="DX4" si="201">IF(DX5=1,DW4+1,DW4)</f>
        <v>4</v>
      </c>
      <c r="DY4">
        <f t="shared" ref="DY4" si="202">IF(DY5=1,DX4+1,DX4)</f>
        <v>4</v>
      </c>
      <c r="DZ4">
        <f t="shared" ref="DZ4" si="203">IF(DZ5=1,DY4+1,DY4)</f>
        <v>4</v>
      </c>
      <c r="EA4">
        <f t="shared" ref="EA4" si="204">IF(EA5=1,DZ4+1,DZ4)</f>
        <v>4</v>
      </c>
      <c r="EB4">
        <f t="shared" ref="EB4" si="205">IF(EB5=1,EA4+1,EA4)</f>
        <v>5</v>
      </c>
      <c r="EC4">
        <f t="shared" ref="EC4" si="206">IF(EC5=1,EB4+1,EB4)</f>
        <v>6</v>
      </c>
      <c r="ED4">
        <f t="shared" ref="ED4" si="207">IF(ED5=1,EC4+1,EC4)</f>
        <v>6</v>
      </c>
      <c r="EE4">
        <f t="shared" ref="EE4" si="208">IF(EE5=1,ED4+1,ED4)</f>
        <v>6</v>
      </c>
      <c r="EF4">
        <f t="shared" ref="EF4" si="209">IF(EF5=1,EE4+1,EE4)</f>
        <v>7</v>
      </c>
      <c r="EG4">
        <f t="shared" ref="EG4" si="210">IF(EG5=1,EF4+1,EF4)</f>
        <v>8</v>
      </c>
      <c r="EH4">
        <f t="shared" ref="EH4" si="211">IF(EH5=1,EG4+1,EG4)</f>
        <v>9</v>
      </c>
    </row>
    <row r="5" spans="1:142">
      <c r="Y5" t="s">
        <v>44</v>
      </c>
      <c r="AA5">
        <f>IF(AA11&gt;0,1,0)</f>
        <v>1</v>
      </c>
      <c r="AB5">
        <f>IF(AB11&gt;0,1,0)</f>
        <v>0</v>
      </c>
      <c r="AC5">
        <f t="shared" ref="AC5:AF5" si="212">IF(AC11&gt;0,1,0)</f>
        <v>0</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0</v>
      </c>
      <c r="AS5">
        <f t="shared" si="218"/>
        <v>0</v>
      </c>
      <c r="AT5">
        <f t="shared" ref="AT5:AU5" si="219">IF(AT11&gt;0,1,0)</f>
        <v>0</v>
      </c>
      <c r="AU5">
        <f t="shared" si="219"/>
        <v>0</v>
      </c>
      <c r="AV5">
        <f t="shared" ref="AV5:AW5" si="220">IF(AV11&gt;0,1,0)</f>
        <v>0</v>
      </c>
      <c r="AW5">
        <f t="shared" si="220"/>
        <v>0</v>
      </c>
      <c r="AX5">
        <f t="shared" ref="AX5:AY5" si="221">IF(AX11&gt;0,1,0)</f>
        <v>0</v>
      </c>
      <c r="AY5">
        <f t="shared" si="221"/>
        <v>0</v>
      </c>
      <c r="AZ5">
        <f t="shared" ref="AZ5" si="222">IF(AZ11&gt;0,1,0)</f>
        <v>0</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1</v>
      </c>
      <c r="DB5">
        <f t="shared" ref="DB5:DC5" si="240">IF(DB11&gt;0,1,0)</f>
        <v>1</v>
      </c>
      <c r="DC5">
        <f t="shared" si="240"/>
        <v>0</v>
      </c>
      <c r="DD5">
        <f t="shared" si="239"/>
        <v>0</v>
      </c>
      <c r="DE5">
        <f t="shared" si="239"/>
        <v>0</v>
      </c>
      <c r="DF5">
        <f t="shared" si="239"/>
        <v>0</v>
      </c>
      <c r="DG5">
        <f t="shared" si="239"/>
        <v>0</v>
      </c>
      <c r="DH5">
        <f t="shared" si="239"/>
        <v>0</v>
      </c>
      <c r="DI5">
        <f t="shared" si="239"/>
        <v>0</v>
      </c>
      <c r="DJ5">
        <f t="shared" si="239"/>
        <v>0</v>
      </c>
      <c r="DK5">
        <f t="shared" si="239"/>
        <v>0</v>
      </c>
      <c r="DL5">
        <f t="shared" si="239"/>
        <v>0</v>
      </c>
      <c r="DM5">
        <f t="shared" si="239"/>
        <v>0</v>
      </c>
      <c r="DN5">
        <f t="shared" si="239"/>
        <v>0</v>
      </c>
      <c r="DO5">
        <f t="shared" si="239"/>
        <v>0</v>
      </c>
      <c r="DP5">
        <f t="shared" si="239"/>
        <v>0</v>
      </c>
      <c r="DQ5">
        <f t="shared" si="239"/>
        <v>0</v>
      </c>
      <c r="DR5">
        <f t="shared" si="239"/>
        <v>0</v>
      </c>
      <c r="DS5">
        <f t="shared" si="239"/>
        <v>0</v>
      </c>
      <c r="DT5">
        <f t="shared" si="239"/>
        <v>0</v>
      </c>
      <c r="DU5">
        <f t="shared" si="239"/>
        <v>0</v>
      </c>
      <c r="DV5">
        <f t="shared" si="239"/>
        <v>0</v>
      </c>
      <c r="DW5">
        <f t="shared" si="239"/>
        <v>0</v>
      </c>
      <c r="DX5">
        <f t="shared" si="239"/>
        <v>0</v>
      </c>
      <c r="DY5">
        <f t="shared" si="239"/>
        <v>0</v>
      </c>
      <c r="DZ5">
        <f t="shared" si="239"/>
        <v>0</v>
      </c>
      <c r="EA5">
        <f t="shared" ref="EA5:ED5" si="241">IF(EA11&gt;0,1,0)</f>
        <v>0</v>
      </c>
      <c r="EB5">
        <f t="shared" si="241"/>
        <v>1</v>
      </c>
      <c r="EC5">
        <f t="shared" si="241"/>
        <v>1</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t="str">
        <f t="shared" si="245"/>
        <v xml:space="preserve"> </v>
      </c>
      <c r="AZ6" s="84" t="str">
        <f>IF(AZ7=0," ",AZ7)</f>
        <v xml:space="preserve"> </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f>IF(DB7=0," ",DB7)</f>
        <v>0.04</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t="str">
        <f>IF(DH7=0," ",DH7)</f>
        <v xml:space="preserve"> </v>
      </c>
      <c r="DI6" s="84" t="str">
        <f t="shared" ref="DI6" si="253">IF(DI7=0," ",DI7)</f>
        <v xml:space="preserve"> </v>
      </c>
      <c r="DJ6" s="224" t="str">
        <f>IF(DJ7=0," ",DJ7)</f>
        <v xml:space="preserve"> </v>
      </c>
      <c r="DK6" s="84" t="str">
        <f>IF(DK7=0," ",DK7)</f>
        <v xml:space="preserve"> </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t="str">
        <f t="shared" ref="DU6" si="254">IF(DU7=0," ",DU7)</f>
        <v xml:space="preserve"> </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0</v>
      </c>
      <c r="AZ7" s="217">
        <f>IF(A11=0," ",'tosafot '!CB2)</f>
        <v>0</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0.04</v>
      </c>
      <c r="DC7" s="6"/>
      <c r="DD7" s="6">
        <f>+'tosafot '!BR2</f>
        <v>0</v>
      </c>
      <c r="DE7" s="243">
        <f>+'tosafot '!DF2</f>
        <v>0</v>
      </c>
      <c r="DF7" s="243">
        <f>+'tosafot '!BS2</f>
        <v>0</v>
      </c>
      <c r="DG7" s="243">
        <f>+'tosafot '!CK2</f>
        <v>0</v>
      </c>
      <c r="DH7" s="134">
        <f>+'tosafot '!CQ3</f>
        <v>0</v>
      </c>
      <c r="DJ7" s="243"/>
      <c r="DK7" s="134">
        <f>+'tos kibutzi'!M1</f>
        <v>0</v>
      </c>
      <c r="DL7" s="243">
        <f>+'tosafot '!AM2</f>
        <v>0</v>
      </c>
      <c r="DM7" s="134"/>
      <c r="DS7" s="134">
        <f>+'tosafot '!DJ2</f>
        <v>0</v>
      </c>
      <c r="DT7" s="243"/>
      <c r="DU7" s="244">
        <f>+'heskem 2016'!B5</f>
        <v>0</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804.25411383551102</v>
      </c>
      <c r="DB8" s="134"/>
      <c r="DC8" s="131">
        <f>+'tosafot '!DV2</f>
        <v>0</v>
      </c>
      <c r="DD8" s="131"/>
      <c r="DE8" s="191"/>
      <c r="DF8" s="191"/>
      <c r="DG8" s="131"/>
      <c r="DH8" s="134"/>
      <c r="DI8">
        <f>+'tosafot '!BT2</f>
        <v>0</v>
      </c>
      <c r="DJ8" s="337">
        <f>+'tosafot '!DG2</f>
        <v>0</v>
      </c>
      <c r="DK8" s="134"/>
      <c r="DL8" s="243"/>
      <c r="DM8" s="191">
        <f>+'tosafot '!DH2</f>
        <v>0</v>
      </c>
      <c r="DN8" s="131">
        <f>+'tosafot '!CL2</f>
        <v>0</v>
      </c>
      <c r="DO8" s="131">
        <f>+'tosafot '!CM2</f>
        <v>0</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467.24588616448909</v>
      </c>
      <c r="ED8" s="131">
        <f>+'Netunei Gimlai'!B18</f>
        <v>0</v>
      </c>
      <c r="EE8" s="592">
        <f>+'tosafot '!CY3</f>
        <v>0</v>
      </c>
    </row>
    <row r="9" spans="1:142" ht="15" thickBot="1">
      <c r="B9" s="18">
        <f>+'Netunei Gimlai'!B6</f>
        <v>1</v>
      </c>
      <c r="C9" s="18">
        <f>VLOOKUP(B9,'tosafot '!$A$7:$B$234,2,0)</f>
        <v>1.2008000000000001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",+'Netunei Gimlai'!B10)</f>
        <v>12</v>
      </c>
      <c r="M11" s="129" t="str">
        <f>IF(A11=0," ",VLOOKUP('Netunei Gimlai'!B10,DARGA!A2:B111,2,0))</f>
        <v>16+</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",'tosafot '!O2)</f>
        <v>0</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0</v>
      </c>
      <c r="AS11" s="191">
        <f>IF(A11=0," ",'tosafot '!Z2)</f>
        <v>0</v>
      </c>
      <c r="AT11" s="191">
        <f>IF(A11=0," ",'tosafot '!AA2)</f>
        <v>0</v>
      </c>
      <c r="AU11" s="191">
        <f>(AA11+AC11+AD11+AZ11+CZ11+DH11+DK11+DA11+AR11+BA11+DJ11)*AU7</f>
        <v>0</v>
      </c>
      <c r="AV11" s="131">
        <f>IF(A11=0," ",'tosafot '!AB2)</f>
        <v>0</v>
      </c>
      <c r="AW11" s="131">
        <f>IF(A11=0," ",'tosafot '!BY2)</f>
        <v>0</v>
      </c>
      <c r="AX11" s="131">
        <f>IF(A11=0," ",'tosafot '!CA2)</f>
        <v>0</v>
      </c>
      <c r="AY11" s="131">
        <f>+(AA11+DB11+AC11+AD11+AE11+AF11+AR11+AZ11+BM11+CB11+CE11+DG11+CZ11+DH11+DK11+DA11+DJ11)*AY7</f>
        <v>0</v>
      </c>
      <c r="AZ11" s="223">
        <f>(AA11+AB11+DB11+AC11+AD11+AH11+AN11+AR11+BI11+BM11+CE11)*AZ7</f>
        <v>0</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160.55836672570746</v>
      </c>
      <c r="DA11" s="136">
        <f>IF(A11=0," ",+DA8)</f>
        <v>804.25411383551102</v>
      </c>
      <c r="DB11" s="136">
        <f>IF(A11=0," ",(+AA11)*DB7)</f>
        <v>140.60386605515927</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0</v>
      </c>
      <c r="DI11" s="191">
        <f>IF(A11=0," ",'tosafot '!BT2)</f>
        <v>0</v>
      </c>
      <c r="DJ11" s="131">
        <f>IF(A11=0," ",'tosafot '!DG2)</f>
        <v>0</v>
      </c>
      <c r="DK11" s="136">
        <f>IF(A11=0," ",+(AA11+AB11+DB11+AC11+AD11+AE11+AF11+AG11+AH11+AI11+AM11+AN11+AP11+AQ11+AR11+AS11+AV11+AZ11+BA11+BB11+BC11+BE11+BH11+BI11+BJ11+BK11+BL11+BM11+BV11+BX11+BY11+CA11+CB11++CC11+CD11+CR11+DE11+CE11+CN11+CS11+CT11+CW11+CX11+CU11+CV11+CY11+DF11+DG11+CZ11+BU11+DH11+DI11+DT11+EA11+DA11+DJ11+DQ11+DZ11)*DK7)</f>
        <v>0</v>
      </c>
      <c r="DL11" s="136">
        <f>+(AA11+DB11+AC11+AD11+AE11+AF11+AI11+AN11+BB11+AS11+BE11+BM11+BY11+CZ11+DH11+DT11+DJ11+DZ11)*DL7</f>
        <v>0</v>
      </c>
      <c r="DM11" s="191">
        <f>IF(A11=0," ",DM8)</f>
        <v>0</v>
      </c>
      <c r="DN11" s="131">
        <f>IF(A11=0," ",DN8)</f>
        <v>0</v>
      </c>
      <c r="DO11" s="131">
        <f>IF(A11=0," ",DO8)</f>
        <v>0</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0</v>
      </c>
      <c r="DV11" s="131">
        <f>IF(A11=0," ",+U11)</f>
        <v>0</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467.24588616448909</v>
      </c>
      <c r="ED11" s="136">
        <f>IF(A11=0," ",+ED8)</f>
        <v>0</v>
      </c>
      <c r="EE11" s="191">
        <f>IF(EE7=0,0,(+AA11+AC11+AD11+BF11+BK11+CZ11+DH11+DK11+DA11+DJ11+DU11+DV11+DW11+DX11+EC11)/EE7*5.33*EE8)</f>
        <v>0</v>
      </c>
      <c r="EF11" s="137">
        <f>IF(A11=0," ",SUM(AA11:EE11))</f>
        <v>5087.7598841598492</v>
      </c>
      <c r="EG11" s="225">
        <f>IF(A11=0," ",'Netunei Gimlai'!B20)</f>
        <v>0.53669999999999995</v>
      </c>
      <c r="EH11" s="225">
        <f>IF(A11=0," ",'Netunei Gimlai'!B19)</f>
        <v>1</v>
      </c>
      <c r="EI11" s="226">
        <f>IF(A11=0," ",+EF11*EG11*EH11)</f>
        <v>2730.6007298285908</v>
      </c>
      <c r="EJ11" s="226">
        <f>IF(A11=0," ",+EF11*3.82%)</f>
        <v>194.35242757490622</v>
      </c>
      <c r="EK11" s="226">
        <f>IF(A11=0," ",+EJ11*EG11*EH11)</f>
        <v>104.30894787945216</v>
      </c>
      <c r="EL11" s="226">
        <f>IF(A11=0," ",+EI11+EK11)</f>
        <v>2834.9096777080431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abSelected="1" topLeftCell="A2" workbookViewId="0">
      <pane xSplit="13512" ySplit="2052" topLeftCell="AZ1" activePane="bottomRight"/>
      <selection activeCell="E1" sqref="E1"/>
      <selection pane="topRight" activeCell="AZ2" sqref="AZ2"/>
      <selection pane="bottomLeft" activeCell="AW2" sqref="AW2"/>
      <selection pane="bottomRight" activeCell="AZ2" sqref="AZ2"/>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122</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12</v>
      </c>
      <c r="F2" s="67"/>
      <c r="G2" s="67"/>
      <c r="H2" s="67"/>
      <c r="I2" s="295"/>
      <c r="J2" s="67"/>
      <c r="K2" s="67"/>
      <c r="L2" s="260">
        <f>IF('Netunei Gimlai'!B4=63,L3,0)</f>
        <v>0</v>
      </c>
      <c r="M2" s="263">
        <f>VLOOKUP($C$3,'tos kibutzi'!$F$6:$G$195,2,0)</f>
        <v>0.04</v>
      </c>
      <c r="N2" s="263">
        <f>VLOOKUP('hashlamat sachar 4643'!B2,'tos kibutzi'!$F$6:$G$195,2,0)</f>
        <v>0.04</v>
      </c>
      <c r="O2" s="464">
        <f>IF('Netunei Gimlai'!G5=TRUE,VLOOKUP(C4,$C$7:$O$234,13,0),0)</f>
        <v>0</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IF('Netunei Gimlai'!G56=TRUE,AV3,0)</f>
        <v>0</v>
      </c>
      <c r="AW2" s="477">
        <f>IF(MISRAD!AY2=1,IF('Netunei Gimlai'!G57=TRUE,'Netunei Gimlai'!J57,0),0)</f>
        <v>0</v>
      </c>
      <c r="AX2" s="477">
        <f>IF(MISRAD!AZ2=1,IF('Netunei Gimlai'!G58=TRUE,'Netunei Gimlai'!J58,0),0)</f>
        <v>0</v>
      </c>
      <c r="AY2" s="477">
        <f>IF(MISRAD!BA2=1,IF('Netunei Gimlai'!G59=TRUE,AY3,0),0)</f>
        <v>0</v>
      </c>
      <c r="AZ2" s="498">
        <f>IF(MISRAD!BC2=1,IF('Netunei Gimlai'!G61=TRUE,IF(E1=104,30%,IF(E1=109,7.5%,IF(E1=111,15%,IF(E1=180,15%,IF(E1=170,8%,IF(E1=122,15%,0)))))),0),0)</f>
        <v>0</v>
      </c>
      <c r="BA2" s="500">
        <f>IF(MISRAD!BD2=1,IF('Netunei Gimlai'!G62=TRUE,BA3,0),0)</f>
        <v>0</v>
      </c>
      <c r="BB2" s="500">
        <f>IF('Netunei Gimlai'!G63=TRUE,BB3,0)</f>
        <v>0</v>
      </c>
      <c r="BC2" s="500">
        <f>IF(MISRAD!BE2=1,IF('Netunei Gimlai'!G64=TRUE,VLOOKUP($C$4,$AR$7:$BC$234,8,0),0),0)</f>
        <v>0</v>
      </c>
      <c r="BD2" s="500">
        <f>IF(MISRAD!BF2=1,IF('Netunei Gimlai'!G65=TRUE,BD3,0),0)</f>
        <v>0</v>
      </c>
      <c r="BE2" s="500">
        <f>IF('Netunei Gimlai'!G66=TRUE,BE3,0)</f>
        <v>0</v>
      </c>
      <c r="BF2" s="498">
        <f>IF(MISRAD!BG2=1,IF('Netunei Gimlai'!G67=TRUE,20%,IF('Netunei Gimlai'!G68=TRUE,15%,0)),0)</f>
        <v>0</v>
      </c>
      <c r="BG2" s="498">
        <f>IF(MISRAD!BH2=1,IF('Netunei Gimlai'!G69=TRUE,22%,IF('Netunei Gimlai'!G70=TRUE,18.78%,IF('Netunei Gimlai'!G71=TRUE,16.5%,IF('Netunei Gimlai'!G72=TRUE,12.75%,0)))),0)</f>
        <v>0</v>
      </c>
      <c r="BH2" s="500">
        <f>IF(MISRAD!BI2=1,IF('Netunei Gimlai'!G73=TRUE,BH3,0),0)</f>
        <v>0</v>
      </c>
      <c r="BI2" s="500">
        <f>IF(MISRAD!BJ2=1,IF('Netunei Gimlai'!G74=TRUE,BI3,0),0)</f>
        <v>0</v>
      </c>
      <c r="BJ2" s="500">
        <f>IF(MISRAD!BK2=1,IF('Netunei Gimlai'!G75=TRUE,BJ3,0),0)</f>
        <v>0</v>
      </c>
      <c r="BK2" s="498">
        <f>IF(MISRAD!BL2=1,IF('Netunei Gimlai'!G76=TRUE,BK3,0),0)</f>
        <v>0</v>
      </c>
      <c r="BL2" s="526">
        <f>IF(MISRAD!BM2=1,IF('Netunei Gimlai'!G77=TRUE,BL3,0),0)</f>
        <v>0</v>
      </c>
      <c r="BM2" s="500">
        <f>IF(MISRAD!BN2=1,IF('Netunei Gimlai'!G78=TRUE,VLOOKUP($C$4,$AR$7:$BM$12,BM1,0),0),0)</f>
        <v>0</v>
      </c>
      <c r="BN2" s="517">
        <f>IF('Netunei Gimlai'!G79=TRUE,BN3,0)</f>
        <v>0</v>
      </c>
      <c r="BO2" s="500">
        <f>IF('Netunei Gimlai'!G80=TRUE,'Netunei Gimlai'!J80,0)</f>
        <v>0</v>
      </c>
      <c r="BP2" s="498">
        <f>IF(MISRAD!BS2=1,IF('Netunei Gimlai'!G82=TRUE,VLOOKUP('Netunei Gimlai'!H82,parameter!K20:L22,2,0)),0)</f>
        <v>0</v>
      </c>
      <c r="BQ2" s="500">
        <f>IF('Netunei Gimlai'!G83=TRUE,VLOOKUP($C$4,$AR$7:$BQ$234,BQ1,0),0)</f>
        <v>0</v>
      </c>
      <c r="BR2" s="498">
        <f>IF(MISRAD!BW2=1,IF('Netunei Gimlai'!G85=TRUE,VLOOKUP($C$4,$AR$7:$BR$234,26,0),0),0)</f>
        <v>0</v>
      </c>
      <c r="BS2" s="498">
        <f>IF(MISRAD!BX2=1,IF('Netunei Gimlai'!G86=TRUE,BS3,0),0)</f>
        <v>0</v>
      </c>
      <c r="BT2" s="500">
        <f>IF('Netunei Gimlai'!G87=TRUE,'Netunei Gimlai'!J87,0)</f>
        <v>0</v>
      </c>
      <c r="BU2" s="478">
        <f>IF(MISRAD!BY2=1,IF('Netunei Gimlai'!G91=TRUE,BU3,0),0)</f>
        <v>0</v>
      </c>
      <c r="BV2" s="485"/>
      <c r="BW2" s="486">
        <f>IF(MISRAD!F2=1,IF('Netunei Gimlai'!G8=TRUE,BW3,0),0)</f>
        <v>0</v>
      </c>
      <c r="BX2" s="490">
        <f>IF(MISRAD!G2=1,IF('Netunei Gimlai'!G9=TRUE,BX3,0),0)</f>
        <v>0</v>
      </c>
      <c r="BY2" s="486">
        <f>IF(MISRAD!H2=1,IF('Netunei Gimlai'!G10=TRUE,BY3,0),0)</f>
        <v>0</v>
      </c>
      <c r="BZ2" s="84">
        <f>IF(MISRAD!I2=1,IF('Netunei Gimlai'!G11=TRUE,BZ3,0),0)</f>
        <v>0</v>
      </c>
      <c r="CA2" s="492">
        <f>IF(MISRAD!BB2=1,IF('Netunei Gimlai'!G60=TRUE,CA3,0),0)</f>
        <v>0</v>
      </c>
      <c r="CB2" s="495">
        <f>IF(MISRAD!J2=1,IF('Netunei Gimlai'!G12=TRUE,CB3,0),0)</f>
        <v>0</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Gimlai'!G26=TRUE,CM6,0),0)</f>
        <v>0</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IF(MISRAD!BO2=1,IF('Netunei Gimlai'!G81=TRUE,CY6,0),0)</f>
        <v>0</v>
      </c>
      <c r="CZ2" s="209">
        <f>IF('Netunei Gimlai'!G103=TRUE,CZ6,0)</f>
        <v>0</v>
      </c>
      <c r="DB2" s="12">
        <f>IF(MISRAD!BQ2=1,IF('Netunei Gimlai'!G95=TRUE,'פומ נתיב 4319'!C2,0),0)</f>
        <v>0</v>
      </c>
      <c r="DC2" s="12">
        <f>IF(MISRAD!BT2=1,IF('Netunei Gimlai'!G96=TRUE,'שרות נתיב 4427'!C2,0),0)</f>
        <v>0</v>
      </c>
      <c r="DD2" s="84">
        <f>IF(MISRAD!BU2=1,IF('Netunei Gimlai'!G97=TRUE,DD3,0),0)</f>
        <v>0</v>
      </c>
      <c r="DE2" s="84">
        <f>IF(MISRAD!BR2=1,IF('Netunei Gimlai'!G98=TRUE,DE3,0),0)</f>
        <v>0</v>
      </c>
      <c r="DF2" s="84">
        <f>IF('Netunei Gimlai'!G104=TRUE,DF3,0)</f>
        <v>0</v>
      </c>
      <c r="DG2" s="2">
        <f>+DG3</f>
        <v>0</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0</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1012</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v>
      </c>
      <c r="AN3" s="456"/>
      <c r="AO3" s="456">
        <v>0.1</v>
      </c>
      <c r="AP3" s="443">
        <v>480.1</v>
      </c>
      <c r="AQ3" s="443">
        <f>+'5539 MEMUNE'!P4</f>
        <v>0</v>
      </c>
      <c r="AR3" s="504"/>
      <c r="AS3" s="478">
        <v>257.37</v>
      </c>
      <c r="AT3" s="478">
        <v>191.57</v>
      </c>
      <c r="AU3" s="478"/>
      <c r="AV3" s="477">
        <v>0</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v>405.18</v>
      </c>
      <c r="BZ3" s="78">
        <f>IF(C4&lt;109,0,IF(C4&lt;121,0.94%,IF(C4&lt;132,2.44%,3.94%)))</f>
        <v>0</v>
      </c>
      <c r="CA3" s="493">
        <v>19.170000000000002</v>
      </c>
      <c r="CB3" s="496">
        <v>0.3</v>
      </c>
      <c r="CC3" s="496"/>
      <c r="CD3" s="486">
        <v>424</v>
      </c>
      <c r="CE3" s="507"/>
      <c r="CF3" s="486"/>
      <c r="CG3" s="486">
        <v>490.8</v>
      </c>
      <c r="CH3" s="486">
        <f>+'tos reforma 4147'!F2</f>
        <v>576</v>
      </c>
      <c r="CI3" s="506">
        <f>VLOOKUP(C4,CE7:CI234,5,0)</f>
        <v>0</v>
      </c>
      <c r="CJ3" s="506">
        <f>VLOOKUP(C4,CE7:CY234,6,0)</f>
        <v>0</v>
      </c>
      <c r="CK3" s="506">
        <v>0.08</v>
      </c>
      <c r="CL3" s="486">
        <v>286.63</v>
      </c>
      <c r="CM3" s="486">
        <f>+CM6</f>
        <v>546.33000000000004</v>
      </c>
      <c r="CN3" s="209" t="b">
        <f>IF('Netunei Gimlai'!G99=TRUE,IF(C2=43,180,IF(C2=44,135,IF(C2=45,90,IF(C2=46,45,0)))))</f>
        <v>0</v>
      </c>
      <c r="CO3" s="6">
        <f>+'tos kibutzi'!H4</f>
        <v>3.5999999999999997E-2</v>
      </c>
      <c r="CP3" s="5">
        <f>+CP6</f>
        <v>0.08</v>
      </c>
      <c r="CQ3" s="6">
        <f>+'tos kibutzi'!K1</f>
        <v>0</v>
      </c>
      <c r="CR3" s="106">
        <v>0.1</v>
      </c>
      <c r="CS3" s="192">
        <v>442.28</v>
      </c>
      <c r="CT3" s="192">
        <v>1414</v>
      </c>
      <c r="CU3" s="192">
        <v>328.76</v>
      </c>
      <c r="CV3" s="429">
        <v>181</v>
      </c>
      <c r="CW3" s="428">
        <v>362</v>
      </c>
      <c r="CX3" s="430">
        <v>904.99</v>
      </c>
      <c r="CY3" s="419">
        <f>IF('Netunei Gimlai'!G81=TRUE,'Netunei Gimlai'!H81,0)</f>
        <v>0</v>
      </c>
      <c r="CZ3" s="209">
        <v>203.92</v>
      </c>
      <c r="DA3" s="209">
        <f>IF(MISRAD!BP2=1,IF('Netunei Gimlai'!G94=TRUE,'Netunei Gimlai'!J94,0),0)</f>
        <v>0</v>
      </c>
      <c r="DB3" s="12"/>
      <c r="DC3" s="12"/>
      <c r="DD3" s="12">
        <v>0.1</v>
      </c>
      <c r="DE3" s="84">
        <v>0.08</v>
      </c>
      <c r="DF3" s="106">
        <v>0.1</v>
      </c>
      <c r="DG3" s="2">
        <f>IF('Netunei Gimlai'!G88=TRUE,'GMUL MINHAL'!D4,IF('Netunei Gimlai'!G89=TRUE,'GMUL MINHAL'!D5,IF('Netunei Gimlai'!G90=TRUE,'GMUL MINHAL'!D6,0)))</f>
        <v>0</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v>546.33000000000004</v>
      </c>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0</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v>546.33000000000004</v>
      </c>
      <c r="CN7" s="253"/>
      <c r="CO7" s="6"/>
      <c r="CP7" s="5">
        <v>0.08</v>
      </c>
      <c r="CV7" s="266">
        <f t="shared" si="1"/>
        <v>181</v>
      </c>
      <c r="CW7" s="267">
        <f t="shared" si="2"/>
        <v>362</v>
      </c>
      <c r="CX7" s="268">
        <f t="shared" si="3"/>
        <v>904.99</v>
      </c>
      <c r="CY7" s="418">
        <v>184</v>
      </c>
      <c r="CZ7" s="252"/>
      <c r="DA7" s="252"/>
      <c r="DB7" s="252"/>
      <c r="DC7" s="252"/>
      <c r="DD7" s="252"/>
      <c r="DE7" s="252"/>
      <c r="DF7" s="252"/>
      <c r="DG7" s="252">
        <f>+DG6</f>
        <v>0</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v>546.33000000000004</v>
      </c>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0</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v>546.33000000000004</v>
      </c>
      <c r="CN9" s="253"/>
      <c r="CP9" s="5">
        <v>0.08</v>
      </c>
      <c r="CV9" s="266">
        <f t="shared" si="1"/>
        <v>181</v>
      </c>
      <c r="CW9" s="267">
        <f t="shared" si="2"/>
        <v>362</v>
      </c>
      <c r="CX9" s="268">
        <f t="shared" si="3"/>
        <v>904.99</v>
      </c>
      <c r="CY9" s="418">
        <v>184</v>
      </c>
      <c r="CZ9" s="252"/>
      <c r="DA9" s="252"/>
      <c r="DB9" s="252"/>
      <c r="DC9" s="252"/>
      <c r="DD9" s="252"/>
      <c r="DE9" s="252"/>
      <c r="DF9" s="252"/>
      <c r="DG9" s="252">
        <f t="shared" si="9"/>
        <v>0</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v>546.33000000000004</v>
      </c>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0</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v>546.33000000000004</v>
      </c>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0</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v>546.33000000000004</v>
      </c>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0</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v>546.33000000000004</v>
      </c>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0</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v>546.33000000000004</v>
      </c>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0</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v>546.33000000000004</v>
      </c>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0</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v>546.33000000000004</v>
      </c>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0</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v>546.33000000000004</v>
      </c>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0</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v>546.33000000000004</v>
      </c>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0</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v>546.33000000000004</v>
      </c>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0</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v>546.33000000000004</v>
      </c>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0</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v>546.33000000000004</v>
      </c>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0</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v>546.33000000000004</v>
      </c>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0</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v>546.33000000000004</v>
      </c>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0</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v>546.33000000000004</v>
      </c>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0</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v>546.33000000000004</v>
      </c>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0</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v>546.33000000000004</v>
      </c>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0</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v>546.33000000000004</v>
      </c>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0</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v>546.33000000000004</v>
      </c>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0</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v>546.33000000000004</v>
      </c>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0</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v>546.33000000000004</v>
      </c>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0</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v>546.33000000000004</v>
      </c>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0</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v>546.33000000000004</v>
      </c>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0</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v>546.33000000000004</v>
      </c>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0</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v>546.33000000000004</v>
      </c>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0</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v>546.33000000000004</v>
      </c>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0</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v>546.33000000000004</v>
      </c>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0</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v>546.33000000000004</v>
      </c>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0</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v>546.33000000000004</v>
      </c>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0</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v>546.33000000000004</v>
      </c>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0</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v>546.33000000000004</v>
      </c>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0</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v>546.33000000000004</v>
      </c>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0</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v>546.33000000000004</v>
      </c>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0</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201.15</v>
      </c>
      <c r="CD43" s="494">
        <v>424</v>
      </c>
      <c r="CE43" s="241">
        <f t="shared" si="0"/>
        <v>37</v>
      </c>
      <c r="CF43" s="2"/>
      <c r="CG43" s="2">
        <v>490.8</v>
      </c>
      <c r="CH43" s="2"/>
      <c r="CI43" s="2"/>
      <c r="CJ43" s="2"/>
      <c r="CK43" s="252"/>
      <c r="CL43" s="252"/>
      <c r="CM43" s="252">
        <v>546.33000000000004</v>
      </c>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0</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201.15</v>
      </c>
      <c r="CD44" s="494">
        <v>424</v>
      </c>
      <c r="CE44" s="241">
        <f t="shared" si="0"/>
        <v>38</v>
      </c>
      <c r="CF44" s="2"/>
      <c r="CG44" s="2">
        <v>490.8</v>
      </c>
      <c r="CH44" s="2"/>
      <c r="CI44" s="2"/>
      <c r="CJ44" s="2"/>
      <c r="CK44" s="252"/>
      <c r="CL44" s="252"/>
      <c r="CM44" s="252">
        <v>546.33000000000004</v>
      </c>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0</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201.15</v>
      </c>
      <c r="CD45" s="494">
        <v>424</v>
      </c>
      <c r="CE45" s="241">
        <f t="shared" si="0"/>
        <v>39</v>
      </c>
      <c r="CF45" s="2"/>
      <c r="CG45" s="2">
        <v>490.8</v>
      </c>
      <c r="CH45" s="2"/>
      <c r="CI45" s="2"/>
      <c r="CJ45" s="2"/>
      <c r="CK45" s="252"/>
      <c r="CL45" s="252"/>
      <c r="CM45" s="252">
        <v>546.33000000000004</v>
      </c>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0</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201.15</v>
      </c>
      <c r="CD46" s="494">
        <v>424</v>
      </c>
      <c r="CE46" s="241">
        <f t="shared" si="0"/>
        <v>40</v>
      </c>
      <c r="CF46" s="2"/>
      <c r="CG46" s="2">
        <v>490.8</v>
      </c>
      <c r="CH46" s="2"/>
      <c r="CI46" s="2"/>
      <c r="CJ46" s="2"/>
      <c r="CK46" s="252"/>
      <c r="CL46" s="252"/>
      <c r="CM46" s="252">
        <v>546.33000000000004</v>
      </c>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0</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201.15</v>
      </c>
      <c r="CD47" s="494">
        <v>424</v>
      </c>
      <c r="CE47" s="241">
        <f t="shared" si="0"/>
        <v>41</v>
      </c>
      <c r="CF47" s="2"/>
      <c r="CG47" s="2">
        <v>490.8</v>
      </c>
      <c r="CH47" s="2"/>
      <c r="CI47" s="2"/>
      <c r="CJ47" s="2"/>
      <c r="CK47" s="252"/>
      <c r="CL47" s="252"/>
      <c r="CM47" s="252">
        <v>546.33000000000004</v>
      </c>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0</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201.15</v>
      </c>
      <c r="CD48" s="494">
        <v>424</v>
      </c>
      <c r="CE48" s="241">
        <f t="shared" si="0"/>
        <v>42</v>
      </c>
      <c r="CF48" s="2"/>
      <c r="CG48" s="2">
        <v>490.8</v>
      </c>
      <c r="CH48" s="2"/>
      <c r="CI48" s="2"/>
      <c r="CJ48" s="2"/>
      <c r="CK48" s="252"/>
      <c r="CL48" s="252"/>
      <c r="CM48" s="252">
        <v>546.33000000000004</v>
      </c>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0</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201.15</v>
      </c>
      <c r="CD49" s="494">
        <v>424</v>
      </c>
      <c r="CE49" s="241">
        <f t="shared" si="0"/>
        <v>43</v>
      </c>
      <c r="CF49" s="2"/>
      <c r="CG49" s="2">
        <v>490.8</v>
      </c>
      <c r="CH49" s="2"/>
      <c r="CI49" s="2"/>
      <c r="CJ49" s="2"/>
      <c r="CK49" s="252"/>
      <c r="CL49" s="252"/>
      <c r="CM49" s="252">
        <v>546.33000000000004</v>
      </c>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0</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201.15</v>
      </c>
      <c r="CD50" s="494">
        <v>424</v>
      </c>
      <c r="CE50" s="241">
        <f t="shared" si="0"/>
        <v>44</v>
      </c>
      <c r="CF50" s="2"/>
      <c r="CG50" s="2">
        <v>490.8</v>
      </c>
      <c r="CH50" s="2"/>
      <c r="CI50" s="2"/>
      <c r="CJ50" s="2"/>
      <c r="CK50" s="252"/>
      <c r="CL50" s="252"/>
      <c r="CM50" s="252">
        <v>546.33000000000004</v>
      </c>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0</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201.15</v>
      </c>
      <c r="CD51" s="494">
        <v>424</v>
      </c>
      <c r="CE51" s="241">
        <f t="shared" si="0"/>
        <v>45</v>
      </c>
      <c r="CF51" s="2"/>
      <c r="CG51" s="2">
        <v>490.8</v>
      </c>
      <c r="CH51" s="2"/>
      <c r="CI51" s="2"/>
      <c r="CJ51" s="2"/>
      <c r="CK51" s="252"/>
      <c r="CL51" s="252"/>
      <c r="CM51" s="252">
        <v>546.33000000000004</v>
      </c>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0</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201.15</v>
      </c>
      <c r="CD52" s="494">
        <v>424</v>
      </c>
      <c r="CE52" s="241">
        <f t="shared" si="0"/>
        <v>46</v>
      </c>
      <c r="CF52" s="2"/>
      <c r="CG52" s="2">
        <v>490.8</v>
      </c>
      <c r="CH52" s="2"/>
      <c r="CI52" s="2"/>
      <c r="CJ52" s="2"/>
      <c r="CK52" s="252"/>
      <c r="CL52" s="252"/>
      <c r="CM52" s="252">
        <v>546.33000000000004</v>
      </c>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0</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201.15</v>
      </c>
      <c r="CD53" s="494">
        <v>424</v>
      </c>
      <c r="CE53" s="241">
        <f t="shared" si="0"/>
        <v>47</v>
      </c>
      <c r="CF53" s="2"/>
      <c r="CG53" s="2">
        <v>490.8</v>
      </c>
      <c r="CH53" s="2"/>
      <c r="CI53" s="2"/>
      <c r="CJ53" s="2"/>
      <c r="CK53" s="252"/>
      <c r="CL53" s="252"/>
      <c r="CM53" s="252">
        <v>546.33000000000004</v>
      </c>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0</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201.15</v>
      </c>
      <c r="CD54" s="494">
        <v>424</v>
      </c>
      <c r="CE54" s="241">
        <f t="shared" si="0"/>
        <v>48</v>
      </c>
      <c r="CF54" s="2"/>
      <c r="CG54" s="2">
        <v>490.8</v>
      </c>
      <c r="CH54" s="2"/>
      <c r="CI54" s="2"/>
      <c r="CJ54" s="2"/>
      <c r="CK54" s="252"/>
      <c r="CL54" s="252"/>
      <c r="CM54" s="252">
        <v>546.33000000000004</v>
      </c>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0</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215.73</v>
      </c>
      <c r="CD55" s="494">
        <v>424</v>
      </c>
      <c r="CE55" s="241">
        <f t="shared" si="0"/>
        <v>49</v>
      </c>
      <c r="CF55" s="2"/>
      <c r="CG55" s="2">
        <v>490.8</v>
      </c>
      <c r="CH55" s="2"/>
      <c r="CI55" s="2"/>
      <c r="CJ55" s="2"/>
      <c r="CK55" s="252"/>
      <c r="CL55" s="252"/>
      <c r="CM55" s="252">
        <v>546.33000000000004</v>
      </c>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0</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502"/>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215.73</v>
      </c>
      <c r="CD56" s="494">
        <v>424</v>
      </c>
      <c r="CE56" s="241">
        <f t="shared" si="0"/>
        <v>50</v>
      </c>
      <c r="CF56" s="2"/>
      <c r="CG56" s="2">
        <v>490.8</v>
      </c>
      <c r="CH56" s="2"/>
      <c r="CI56" s="2"/>
      <c r="CJ56" s="2"/>
      <c r="CK56" s="252"/>
      <c r="CL56" s="252"/>
      <c r="CM56" s="252">
        <v>546.33000000000004</v>
      </c>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0</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501"/>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215.73</v>
      </c>
      <c r="CD57" s="494">
        <v>424</v>
      </c>
      <c r="CE57" s="241">
        <f t="shared" si="0"/>
        <v>51</v>
      </c>
      <c r="CF57" s="2"/>
      <c r="CG57" s="2">
        <v>490.8</v>
      </c>
      <c r="CH57" s="2"/>
      <c r="CI57" s="2"/>
      <c r="CJ57" s="2"/>
      <c r="CK57" s="252"/>
      <c r="CL57" s="252"/>
      <c r="CM57" s="252">
        <v>546.33000000000004</v>
      </c>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0</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502"/>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215.73</v>
      </c>
      <c r="CD58" s="494">
        <v>424</v>
      </c>
      <c r="CE58" s="241">
        <f t="shared" si="0"/>
        <v>52</v>
      </c>
      <c r="CF58" s="2"/>
      <c r="CG58" s="2">
        <v>490.8</v>
      </c>
      <c r="CH58" s="2"/>
      <c r="CI58" s="2"/>
      <c r="CJ58" s="2"/>
      <c r="CK58" s="252"/>
      <c r="CL58" s="252"/>
      <c r="CM58" s="252">
        <v>546.33000000000004</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0</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501"/>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215.73</v>
      </c>
      <c r="CD59" s="494">
        <v>424</v>
      </c>
      <c r="CE59" s="241">
        <f t="shared" si="0"/>
        <v>53</v>
      </c>
      <c r="CF59" s="2"/>
      <c r="CG59" s="2">
        <v>490.8</v>
      </c>
      <c r="CH59" s="2"/>
      <c r="CI59" s="2"/>
      <c r="CJ59" s="2"/>
      <c r="CK59" s="252"/>
      <c r="CL59" s="252"/>
      <c r="CM59" s="252">
        <v>546.33000000000004</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0</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502"/>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215.73</v>
      </c>
      <c r="CD60" s="494">
        <v>424</v>
      </c>
      <c r="CE60" s="241">
        <f t="shared" si="0"/>
        <v>54</v>
      </c>
      <c r="CF60" s="2"/>
      <c r="CG60" s="2">
        <v>490.8</v>
      </c>
      <c r="CH60" s="2"/>
      <c r="CI60" s="2"/>
      <c r="CJ60" s="2"/>
      <c r="CK60" s="252"/>
      <c r="CL60" s="252"/>
      <c r="CM60" s="252">
        <v>546.33000000000004</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0</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501"/>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215.73</v>
      </c>
      <c r="CD61" s="494">
        <v>424</v>
      </c>
      <c r="CE61" s="241">
        <f t="shared" si="0"/>
        <v>55</v>
      </c>
      <c r="CF61" s="2"/>
      <c r="CG61" s="2">
        <v>490.8</v>
      </c>
      <c r="CH61" s="2"/>
      <c r="CI61" s="2"/>
      <c r="CJ61" s="2"/>
      <c r="CK61" s="252"/>
      <c r="CL61" s="252"/>
      <c r="CM61" s="252">
        <v>546.33000000000004</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0</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502"/>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215.73</v>
      </c>
      <c r="CD62" s="494">
        <v>424</v>
      </c>
      <c r="CE62" s="241">
        <f t="shared" si="0"/>
        <v>56</v>
      </c>
      <c r="CF62" s="2"/>
      <c r="CG62" s="2">
        <v>490.8</v>
      </c>
      <c r="CH62" s="2"/>
      <c r="CI62" s="2"/>
      <c r="CJ62" s="2"/>
      <c r="CK62" s="252"/>
      <c r="CL62" s="252"/>
      <c r="CM62" s="252">
        <v>546.33000000000004</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0</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501"/>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215.73</v>
      </c>
      <c r="CD63" s="494">
        <v>424</v>
      </c>
      <c r="CE63" s="241">
        <f t="shared" si="0"/>
        <v>57</v>
      </c>
      <c r="CF63" s="2"/>
      <c r="CG63" s="2">
        <v>490.8</v>
      </c>
      <c r="CH63" s="2"/>
      <c r="CI63" s="2"/>
      <c r="CJ63" s="2"/>
      <c r="CK63" s="252"/>
      <c r="CL63" s="252"/>
      <c r="CM63" s="252">
        <v>546.33000000000004</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0</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502"/>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215.73</v>
      </c>
      <c r="CD64" s="494">
        <v>424</v>
      </c>
      <c r="CE64" s="241">
        <f t="shared" si="0"/>
        <v>58</v>
      </c>
      <c r="CF64" s="2"/>
      <c r="CG64" s="2">
        <v>490.8</v>
      </c>
      <c r="CH64" s="2"/>
      <c r="CI64" s="2"/>
      <c r="CJ64" s="2"/>
      <c r="CK64" s="252"/>
      <c r="CL64" s="252"/>
      <c r="CM64" s="252">
        <v>546.33000000000004</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0</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501"/>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215.73</v>
      </c>
      <c r="CD65" s="494">
        <v>424</v>
      </c>
      <c r="CE65" s="241">
        <f t="shared" si="0"/>
        <v>59</v>
      </c>
      <c r="CF65" s="2"/>
      <c r="CG65" s="2">
        <v>490.8</v>
      </c>
      <c r="CH65" s="2"/>
      <c r="CI65" s="2"/>
      <c r="CJ65" s="2"/>
      <c r="CK65" s="252"/>
      <c r="CL65" s="252"/>
      <c r="CM65" s="252">
        <v>546.33000000000004</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0</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502"/>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215.73</v>
      </c>
      <c r="CD66" s="494">
        <v>424</v>
      </c>
      <c r="CE66" s="241">
        <f t="shared" si="0"/>
        <v>60</v>
      </c>
      <c r="CF66" s="2"/>
      <c r="CG66" s="2">
        <v>490.8</v>
      </c>
      <c r="CH66" s="2"/>
      <c r="CI66" s="2"/>
      <c r="CJ66" s="2"/>
      <c r="CK66" s="252"/>
      <c r="CL66" s="252"/>
      <c r="CM66" s="252">
        <v>546.33000000000004</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0</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c r="CM67" s="252">
        <v>546.33000000000004</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0</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c r="CM68" s="252">
        <v>546.33000000000004</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0</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c r="CM69" s="252">
        <v>546.33000000000004</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0</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c r="CM70" s="252">
        <v>546.33000000000004</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0</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c r="CM71" s="252">
        <v>546.33000000000004</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0</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c r="CM72" s="252">
        <v>546.33000000000004</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0</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c r="CM73" s="252">
        <v>546.33000000000004</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0</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c r="CM74" s="252">
        <v>546.33000000000004</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0</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c r="CM75" s="252">
        <v>546.33000000000004</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0</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c r="CM76" s="252">
        <v>546.33000000000004</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0</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c r="CM77" s="252">
        <v>546.33000000000004</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0</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c r="CM78" s="252">
        <v>546.33000000000004</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0</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c r="CM79" s="252">
        <v>546.33000000000004</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0</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c r="CM80" s="252">
        <v>546.33000000000004</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0</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c r="CM81" s="252">
        <v>546.33000000000004</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0</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c r="CM82" s="252">
        <v>546.33000000000004</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0</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c r="CM83" s="252">
        <v>546.33000000000004</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0</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c r="CM84" s="252">
        <v>546.33000000000004</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0</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c r="CM85" s="252">
        <v>546.33000000000004</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0</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c r="CM86" s="252">
        <v>546.33000000000004</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0</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c r="CM87" s="252">
        <v>546.33000000000004</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0</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c r="CM88" s="252">
        <v>546.33000000000004</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0</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c r="CM89" s="252">
        <v>546.33000000000004</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0</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c r="CM90" s="252">
        <v>546.33000000000004</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0</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c r="CM91" s="252">
        <v>546.33000000000004</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0</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c r="CM92" s="252">
        <v>546.33000000000004</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0</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c r="CM93" s="252">
        <v>546.33000000000004</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0</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c r="CM94" s="252">
        <v>546.33000000000004</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0</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c r="CM95" s="252">
        <v>546.33000000000004</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0</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c r="CM96" s="252">
        <v>546.33000000000004</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0</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c r="CM97" s="252">
        <v>546.33000000000004</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0</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c r="CM98" s="252">
        <v>546.33000000000004</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0</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c r="CM99" s="252">
        <v>546.33000000000004</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0</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c r="CM100" s="252">
        <v>546.33000000000004</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0</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c r="CM101" s="252">
        <v>546.33000000000004</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0</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c r="CM102" s="252">
        <v>546.33000000000004</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0</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c r="CM103" s="252">
        <v>546.33000000000004</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0</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c r="CM104" s="252">
        <v>546.33000000000004</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0</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c r="CM105" s="252">
        <v>546.33000000000004</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0</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c r="CM106" s="252">
        <v>546.33000000000004</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0</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c r="CM107" s="252">
        <v>546.33000000000004</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0</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c r="CM108" s="252">
        <v>546.33000000000004</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0</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c r="CM109" s="252">
        <v>546.33000000000004</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0</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c r="CM110" s="252">
        <v>546.33000000000004</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0</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c r="CM111" s="252">
        <v>546.33000000000004</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0</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c r="CM112" s="252">
        <v>546.33000000000004</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0</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c r="CM113" s="252">
        <v>546.33000000000004</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0</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c r="CM114" s="252">
        <v>546.33000000000004</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0</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c r="CM115" s="252">
        <v>546.33000000000004</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0</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c r="CM116" s="252">
        <v>546.33000000000004</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0</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c r="CM117" s="252">
        <v>546.33000000000004</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0</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c r="CM118" s="252">
        <v>546.33000000000004</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0</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c r="CM119" s="252">
        <v>546.33000000000004</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0</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c r="CM120" s="252">
        <v>546.33000000000004</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0</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c r="CM121" s="252">
        <v>546.33000000000004</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0</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c r="CM122" s="252">
        <v>546.33000000000004</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0</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c r="CM123" s="252">
        <v>546.33000000000004</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0</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c r="CM124" s="252">
        <v>546.33000000000004</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0</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c r="CM125" s="252">
        <v>546.33000000000004</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0</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c r="CM126" s="252">
        <v>546.33000000000004</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0</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c r="CM127" s="252">
        <v>546.33000000000004</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0</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c r="CM128" s="252">
        <v>546.33000000000004</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0</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c r="CM129" s="252">
        <v>546.33000000000004</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0</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c r="CM130" s="252">
        <v>546.33000000000004</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0</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c r="CM131" s="252">
        <v>546.33000000000004</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0</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c r="CM132" s="252">
        <v>546.33000000000004</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0</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c r="CM133" s="252">
        <v>546.33000000000004</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0</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c r="CM134" s="252">
        <v>546.33000000000004</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0</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c r="CM135" s="252">
        <v>546.33000000000004</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0</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c r="CM136" s="252">
        <v>546.33000000000004</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0</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c r="CM137" s="252">
        <v>546.33000000000004</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0</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c r="CM138" s="252">
        <v>546.33000000000004</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0</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c r="CM139" s="252">
        <v>546.33000000000004</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0</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c r="CM140" s="252">
        <v>546.33000000000004</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0</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c r="CM141" s="252">
        <v>546.33000000000004</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0</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c r="CM142" s="252">
        <v>546.33000000000004</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0</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c r="CM143" s="252">
        <v>546.33000000000004</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0</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c r="CM144" s="252">
        <v>546.33000000000004</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0</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c r="CM145" s="252">
        <v>546.33000000000004</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0</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c r="CM146" s="252">
        <v>546.33000000000004</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0</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c r="CM147" s="252">
        <v>546.33000000000004</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0</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c r="CM148" s="252">
        <v>546.33000000000004</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0</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c r="CM149" s="252">
        <v>546.33000000000004</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0</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c r="CM150" s="252">
        <v>546.33000000000004</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0</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c r="CM151" s="252">
        <v>546.33000000000004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0</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c r="CM152" s="252">
        <v>546.33000000000004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0</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c r="CM153" s="252">
        <v>546.33000000000004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0</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c r="CM154" s="252">
        <v>546.33000000000004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0</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c r="CM155" s="252">
        <v>546.33000000000004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0</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c r="CM156" s="252">
        <v>546.33000000000004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0</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c r="CM157" s="252">
        <v>546.33000000000004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0</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c r="CM158" s="252">
        <v>546.33000000000004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0</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c r="CM159" s="252">
        <v>546.33000000000004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0</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c r="CM160" s="252">
        <v>546.33000000000004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0</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c r="CM161" s="252">
        <v>546.33000000000004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0</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c r="CM162" s="252">
        <v>546.33000000000004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0</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c r="CM163" s="252">
        <v>546.33000000000004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0</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c r="CM164" s="252">
        <v>546.33000000000004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0</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c r="CM165" s="252">
        <v>546.33000000000004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0</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c r="CM166" s="252">
        <v>546.33000000000004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0</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c r="CM167" s="252">
        <v>546.33000000000004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0</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c r="CM168" s="252">
        <v>546.33000000000004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0</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c r="CM169" s="252">
        <v>546.33000000000004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0</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c r="CM170" s="252">
        <v>546.33000000000004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0</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c r="CM171" s="252">
        <v>546.33000000000004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0</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c r="CM172" s="252">
        <v>546.33000000000004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0</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c r="CM173" s="252">
        <v>546.33000000000004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0</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c r="CM174" s="252">
        <v>546.33000000000004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0</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c r="CM175" s="252">
        <v>546.33000000000004</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0</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c r="CM176" s="252">
        <v>546.33000000000004</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0</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c r="CM177" s="252">
        <v>546.33000000000004</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0</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c r="CM178" s="252">
        <v>546.33000000000004</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0</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c r="CM179" s="252">
        <v>546.33000000000004</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0</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c r="CM180" s="252">
        <v>546.33000000000004</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0</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c r="CM181" s="252">
        <v>546.33000000000004</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0</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c r="CM182" s="252">
        <v>546.33000000000004</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0</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c r="CM183" s="252">
        <v>546.33000000000004</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0</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c r="CM184" s="252">
        <v>546.33000000000004</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0</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c r="CM185" s="252">
        <v>546.33000000000004</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0</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c r="CM186" s="252">
        <v>546.33000000000004</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0</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c r="CM187" s="252">
        <v>546.33000000000004</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0</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c r="CM188" s="252">
        <v>546.33000000000004</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0</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c r="CM189" s="252">
        <v>546.33000000000004</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0</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c r="CM190" s="252">
        <v>546.33000000000004</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0</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c r="CM191" s="252">
        <v>546.33000000000004</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0</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c r="CM192" s="252">
        <v>546.33000000000004</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0</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c r="CM193" s="252">
        <v>546.33000000000004</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0</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c r="CM194" s="252">
        <v>546.33000000000004</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0</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c r="CM195" s="252">
        <v>546.33000000000004</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0</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c r="CM196" s="252">
        <v>546.33000000000004</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0</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c r="CM197" s="252">
        <v>546.33000000000004</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0</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c r="CM198" s="252">
        <v>546.33000000000004</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0</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0</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0</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0</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0</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0</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0</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0</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0</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0</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0</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0</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0</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c r="CM211" s="252">
        <v>546.33000000000004</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0</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3"/>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c r="CM212" s="252">
        <v>546.33000000000004</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0</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4"/>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c r="CM213" s="252">
        <v>546.33000000000004</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0</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3"/>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c r="CM214" s="252">
        <v>546.33000000000004</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0</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4"/>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c r="CM215" s="252">
        <v>546.33000000000004</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0</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3"/>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c r="CM216" s="252">
        <v>546.33000000000004</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0</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4"/>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c r="CM217" s="252">
        <v>546.33000000000004</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0</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3"/>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c r="CM218" s="252">
        <v>546.33000000000004</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0</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4"/>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c r="CM219" s="252">
        <v>546.33000000000004</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0</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3"/>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c r="CM220" s="252">
        <v>546.33000000000004</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0</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4"/>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c r="CM221" s="252">
        <v>546.33000000000004</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0</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3"/>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c r="CM222" s="252">
        <v>546.33000000000004</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0</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4"/>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c r="CM223" s="252">
        <v>546.33000000000004</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0</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3"/>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c r="CM224" s="252">
        <v>546.33000000000004</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0</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4"/>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c r="CM225" s="252">
        <v>546.33000000000004</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0</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3"/>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c r="CM226" s="252">
        <v>546.33000000000004</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0</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4"/>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c r="CM227" s="252">
        <v>546.33000000000004</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0</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3"/>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c r="CM228" s="252">
        <v>546.33000000000004</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0</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4"/>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c r="CM229" s="252">
        <v>546.33000000000004</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0</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3"/>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c r="CM230" s="252">
        <v>546.33000000000004</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0</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4"/>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c r="CM231" s="252">
        <v>546.33000000000004</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0</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3"/>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c r="CM232" s="252">
        <v>546.33000000000004</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0</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4"/>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c r="CM233" s="252">
        <v>546.33000000000004</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0</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3"/>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c r="CM234" s="252">
        <v>546.33000000000004</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0</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Y81"/>
  <sheetViews>
    <sheetView rightToLeft="1" workbookViewId="0">
      <pane xSplit="11172" ySplit="1788" topLeftCell="AT30" activePane="bottomLeft"/>
      <selection activeCell="D4" sqref="D4"/>
      <selection pane="topRight" activeCell="AD3" sqref="AD3"/>
      <selection pane="bottomLeft" activeCell="A15" sqref="A15:XFD15"/>
      <selection pane="bottomRight" activeCell="AG4" sqref="AG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0" width="10.33203125" customWidth="1"/>
  </cols>
  <sheetData>
    <row r="1" spans="1:77">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row>
    <row r="2" spans="1:77">
      <c r="A2" s="18"/>
      <c r="B2" s="18" t="s">
        <v>51</v>
      </c>
      <c r="C2" s="18">
        <f>+'Netunei Gimlai'!B4</f>
        <v>22</v>
      </c>
      <c r="D2" s="18"/>
      <c r="E2" s="18" t="s">
        <v>3261</v>
      </c>
      <c r="F2" s="436">
        <f>VLOOKUP($C$2,$C$5:$W$81,4,0)</f>
        <v>0</v>
      </c>
      <c r="G2" s="436">
        <f>VLOOKUP($C$2,$C$5:$W$81,5,0)</f>
        <v>0</v>
      </c>
      <c r="H2" s="436">
        <f>VLOOKUP($C$2,$C$5:$W$81,6,0)</f>
        <v>0</v>
      </c>
      <c r="I2" s="436">
        <f>VLOOKUP($C$2,$C$5:$W$81,7,0)</f>
        <v>0</v>
      </c>
      <c r="J2" s="436">
        <f>VLOOKUP($C$2,$C$5:$W$81,8,0)</f>
        <v>0</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0</v>
      </c>
      <c r="T2" s="436">
        <f>VLOOKUP($C$2,$C$5:$W$81,18,0)</f>
        <v>0</v>
      </c>
      <c r="U2" s="436">
        <f>VLOOKUP($C$2,$C$5:$W$81,19,0)</f>
        <v>0</v>
      </c>
      <c r="V2" s="436">
        <f>VLOOKUP($C$2,$C$5:$W$81,20,0)</f>
        <v>0</v>
      </c>
      <c r="W2" s="436">
        <f>VLOOKUP($C$2,$C$5:$W$81,21,0)</f>
        <v>0</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O2" si="1">VLOOKUP($C$2,$AU$5:$BY$81,AW1,0)</f>
        <v>0</v>
      </c>
      <c r="AX2" s="481">
        <f t="shared" si="1"/>
        <v>0</v>
      </c>
      <c r="AY2" s="481">
        <f t="shared" si="1"/>
        <v>0</v>
      </c>
      <c r="AZ2" s="481">
        <f t="shared" si="1"/>
        <v>0</v>
      </c>
      <c r="BA2" s="481">
        <f t="shared" si="1"/>
        <v>0</v>
      </c>
      <c r="BB2" s="481">
        <f t="shared" si="1"/>
        <v>0</v>
      </c>
      <c r="BC2" s="481">
        <f t="shared" si="1"/>
        <v>1</v>
      </c>
      <c r="BD2" s="481">
        <f t="shared" si="1"/>
        <v>0</v>
      </c>
      <c r="BE2" s="481">
        <f t="shared" si="1"/>
        <v>0</v>
      </c>
      <c r="BF2" s="481">
        <f t="shared" si="1"/>
        <v>0</v>
      </c>
      <c r="BG2" s="481">
        <f t="shared" si="1"/>
        <v>0</v>
      </c>
      <c r="BH2" s="481">
        <f t="shared" si="1"/>
        <v>0</v>
      </c>
      <c r="BI2" s="481">
        <f t="shared" si="1"/>
        <v>0</v>
      </c>
      <c r="BJ2" s="481">
        <f t="shared" si="1"/>
        <v>1</v>
      </c>
      <c r="BK2" s="481">
        <f t="shared" si="1"/>
        <v>0</v>
      </c>
      <c r="BL2" s="481">
        <f t="shared" si="1"/>
        <v>0</v>
      </c>
      <c r="BM2" s="481">
        <f t="shared" si="1"/>
        <v>0</v>
      </c>
      <c r="BN2" s="481">
        <f t="shared" si="1"/>
        <v>0</v>
      </c>
      <c r="BO2" s="481">
        <f t="shared" si="1"/>
        <v>0</v>
      </c>
      <c r="BP2" s="481">
        <f t="shared" ref="BP2:BQ2" si="2">VLOOKUP($C$2,$AU$5:$BY$81,BP1,0)</f>
        <v>0</v>
      </c>
      <c r="BQ2" s="481">
        <f t="shared" si="2"/>
        <v>0</v>
      </c>
      <c r="BR2" s="481">
        <f t="shared" ref="BR2" si="3">VLOOKUP($C$2,$AU$5:$BY$81,BR1,0)</f>
        <v>0</v>
      </c>
      <c r="BS2" s="481">
        <f t="shared" ref="BS2" si="4">VLOOKUP($C$2,$AU$5:$BY$81,BS1,0)</f>
        <v>0</v>
      </c>
      <c r="BT2" s="481">
        <f t="shared" ref="BT2" si="5">VLOOKUP($C$2,$AU$5:$BY$81,BT1,0)</f>
        <v>0</v>
      </c>
      <c r="BU2" s="481">
        <f t="shared" ref="BU2" si="6">VLOOKUP($C$2,$AU$5:$BY$81,BU1,0)</f>
        <v>0</v>
      </c>
      <c r="BV2" s="481">
        <f t="shared" ref="BV2" si="7">VLOOKUP($C$2,$AU$5:$BY$81,BV1,0)</f>
        <v>0</v>
      </c>
      <c r="BW2" s="481">
        <f t="shared" ref="BW2" si="8">VLOOKUP($C$2,$AU$5:$BY$81,BW1,0)</f>
        <v>0</v>
      </c>
      <c r="BX2" s="481">
        <f t="shared" ref="BX2" si="9">VLOOKUP($C$2,$AU$5:$BY$81,BX1,0)</f>
        <v>0</v>
      </c>
      <c r="BY2" s="481">
        <f t="shared" ref="BY2" si="10">VLOOKUP($C$2,$AU$5:$BY$81,BY1,0)</f>
        <v>0</v>
      </c>
    </row>
    <row r="3" spans="1:77"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658</v>
      </c>
      <c r="AZ3" s="481">
        <v>678</v>
      </c>
      <c r="BA3" s="481">
        <v>681</v>
      </c>
      <c r="BB3" s="481">
        <v>739</v>
      </c>
      <c r="BC3" s="481">
        <v>756</v>
      </c>
      <c r="BD3" s="481">
        <v>768</v>
      </c>
      <c r="BE3" s="481">
        <v>805</v>
      </c>
      <c r="BF3" s="481">
        <v>809</v>
      </c>
      <c r="BG3" s="481">
        <v>858</v>
      </c>
      <c r="BH3" s="481">
        <v>875</v>
      </c>
      <c r="BI3" s="481">
        <v>883</v>
      </c>
      <c r="BJ3" s="481">
        <v>907</v>
      </c>
      <c r="BK3" s="481">
        <v>918</v>
      </c>
      <c r="BL3" s="481">
        <v>920</v>
      </c>
      <c r="BM3" s="481">
        <v>1297</v>
      </c>
      <c r="BN3" s="481">
        <v>1358</v>
      </c>
      <c r="BO3" s="481">
        <v>4180</v>
      </c>
      <c r="BP3" s="481">
        <v>4318</v>
      </c>
      <c r="BQ3" s="481">
        <v>4319</v>
      </c>
      <c r="BR3" s="481">
        <v>4374</v>
      </c>
      <c r="BS3" s="481">
        <v>4406</v>
      </c>
      <c r="BT3" s="481">
        <v>4427</v>
      </c>
      <c r="BU3" s="481">
        <v>4428</v>
      </c>
      <c r="BV3" s="481">
        <v>4429</v>
      </c>
      <c r="BW3" s="481">
        <v>4651</v>
      </c>
      <c r="BX3" s="481">
        <v>4683</v>
      </c>
      <c r="BY3" s="481">
        <v>5268</v>
      </c>
    </row>
    <row r="4" spans="1:77"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68</v>
      </c>
      <c r="AZ4" s="483" t="s">
        <v>1294</v>
      </c>
      <c r="BA4" s="483" t="s">
        <v>5350</v>
      </c>
      <c r="BB4" s="483" t="s">
        <v>1332</v>
      </c>
      <c r="BC4" s="483" t="s">
        <v>855</v>
      </c>
      <c r="BD4" s="483" t="s">
        <v>5323</v>
      </c>
      <c r="BE4" s="483" t="s">
        <v>868</v>
      </c>
      <c r="BF4" s="483" t="s">
        <v>1536</v>
      </c>
      <c r="BG4" s="483" t="s">
        <v>855</v>
      </c>
      <c r="BH4" s="483" t="s">
        <v>879</v>
      </c>
      <c r="BI4" s="483" t="s">
        <v>1536</v>
      </c>
      <c r="BJ4" s="483" t="s">
        <v>5176</v>
      </c>
      <c r="BK4" s="483" t="s">
        <v>1332</v>
      </c>
      <c r="BL4" s="483" t="s">
        <v>896</v>
      </c>
      <c r="BM4" s="483" t="s">
        <v>4385</v>
      </c>
      <c r="BN4" s="483" t="s">
        <v>5327</v>
      </c>
      <c r="BO4" s="483" t="s">
        <v>5788</v>
      </c>
      <c r="BP4" s="483" t="s">
        <v>5266</v>
      </c>
      <c r="BQ4" s="483" t="s">
        <v>5794</v>
      </c>
      <c r="BR4" s="483" t="s">
        <v>2601</v>
      </c>
      <c r="BS4" s="483" t="s">
        <v>5209</v>
      </c>
      <c r="BT4" s="483" t="s">
        <v>5269</v>
      </c>
      <c r="BU4" s="483" t="s">
        <v>2625</v>
      </c>
      <c r="BV4" s="483" t="s">
        <v>954</v>
      </c>
      <c r="BW4" s="483" t="s">
        <v>954</v>
      </c>
      <c r="BX4" s="483" t="s">
        <v>954</v>
      </c>
      <c r="BY4" s="483" t="s">
        <v>5149</v>
      </c>
    </row>
    <row r="5" spans="1:77" ht="15" thickTop="1">
      <c r="A5">
        <v>1</v>
      </c>
      <c r="B5" t="s">
        <v>270</v>
      </c>
      <c r="C5">
        <v>1</v>
      </c>
      <c r="D5">
        <v>41</v>
      </c>
      <c r="X5">
        <v>1</v>
      </c>
      <c r="Y5">
        <v>41</v>
      </c>
      <c r="AU5">
        <v>1</v>
      </c>
      <c r="AV5">
        <v>41</v>
      </c>
    </row>
    <row r="6" spans="1:77">
      <c r="A6">
        <v>2</v>
      </c>
      <c r="B6" t="s">
        <v>271</v>
      </c>
      <c r="C6">
        <v>2</v>
      </c>
      <c r="D6">
        <v>91</v>
      </c>
      <c r="X6">
        <v>2</v>
      </c>
      <c r="Y6">
        <v>91</v>
      </c>
      <c r="AU6">
        <v>2</v>
      </c>
      <c r="AV6">
        <v>91</v>
      </c>
    </row>
    <row r="7" spans="1:77">
      <c r="A7">
        <v>3</v>
      </c>
      <c r="B7" t="s">
        <v>285</v>
      </c>
      <c r="C7">
        <v>3</v>
      </c>
      <c r="D7">
        <v>101</v>
      </c>
      <c r="X7">
        <v>3</v>
      </c>
      <c r="Y7">
        <v>101</v>
      </c>
      <c r="AU7">
        <v>3</v>
      </c>
      <c r="AV7">
        <v>101</v>
      </c>
    </row>
    <row r="8" spans="1:77">
      <c r="A8">
        <v>4</v>
      </c>
      <c r="B8" t="s">
        <v>289</v>
      </c>
      <c r="C8">
        <v>4</v>
      </c>
      <c r="D8">
        <v>102</v>
      </c>
      <c r="X8">
        <v>4</v>
      </c>
      <c r="Y8">
        <v>102</v>
      </c>
      <c r="AU8">
        <v>4</v>
      </c>
      <c r="AV8">
        <v>102</v>
      </c>
    </row>
    <row r="9" spans="1:77">
      <c r="A9">
        <v>5</v>
      </c>
      <c r="B9" t="s">
        <v>317</v>
      </c>
      <c r="C9">
        <v>5</v>
      </c>
      <c r="D9">
        <v>103</v>
      </c>
      <c r="X9">
        <v>5</v>
      </c>
      <c r="Y9">
        <v>103</v>
      </c>
      <c r="AU9">
        <v>5</v>
      </c>
      <c r="AV9">
        <v>103</v>
      </c>
      <c r="BL9">
        <v>1</v>
      </c>
    </row>
    <row r="10" spans="1:77">
      <c r="A10">
        <v>6</v>
      </c>
      <c r="B10" t="s">
        <v>322</v>
      </c>
      <c r="C10">
        <v>6</v>
      </c>
      <c r="D10">
        <v>104</v>
      </c>
      <c r="X10">
        <v>6</v>
      </c>
      <c r="Y10">
        <v>104</v>
      </c>
      <c r="AU10">
        <v>6</v>
      </c>
      <c r="AV10">
        <v>104</v>
      </c>
      <c r="BC10">
        <v>1</v>
      </c>
      <c r="BD10">
        <v>1</v>
      </c>
      <c r="BF10">
        <v>1</v>
      </c>
      <c r="BJ10">
        <v>1</v>
      </c>
      <c r="BN10">
        <v>1</v>
      </c>
      <c r="BP10">
        <v>1</v>
      </c>
      <c r="BQ10">
        <v>1</v>
      </c>
      <c r="BR10">
        <v>1</v>
      </c>
      <c r="BT10">
        <v>1</v>
      </c>
      <c r="BU10">
        <v>1</v>
      </c>
      <c r="BX10">
        <v>1</v>
      </c>
    </row>
    <row r="11" spans="1:77">
      <c r="A11">
        <v>7</v>
      </c>
      <c r="B11" t="s">
        <v>327</v>
      </c>
      <c r="C11">
        <v>7</v>
      </c>
      <c r="D11">
        <v>105</v>
      </c>
      <c r="X11">
        <v>7</v>
      </c>
      <c r="Y11">
        <v>105</v>
      </c>
      <c r="AU11">
        <v>7</v>
      </c>
      <c r="AV11">
        <v>105</v>
      </c>
      <c r="BJ11">
        <v>1</v>
      </c>
      <c r="BK11">
        <v>1</v>
      </c>
    </row>
    <row r="12" spans="1:77">
      <c r="A12">
        <v>8</v>
      </c>
      <c r="B12" t="s">
        <v>342</v>
      </c>
      <c r="C12">
        <v>8</v>
      </c>
      <c r="D12">
        <v>106</v>
      </c>
      <c r="X12">
        <v>8</v>
      </c>
      <c r="Y12">
        <v>106</v>
      </c>
      <c r="AU12">
        <v>8</v>
      </c>
      <c r="AV12">
        <v>106</v>
      </c>
    </row>
    <row r="13" spans="1:77">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J13">
        <v>1</v>
      </c>
    </row>
    <row r="14" spans="1:77">
      <c r="A14">
        <v>10</v>
      </c>
      <c r="B14" t="s">
        <v>488</v>
      </c>
      <c r="C14">
        <v>10</v>
      </c>
      <c r="D14">
        <v>108</v>
      </c>
      <c r="X14">
        <v>10</v>
      </c>
      <c r="Y14">
        <v>108</v>
      </c>
      <c r="AU14">
        <v>10</v>
      </c>
      <c r="AV14">
        <v>108</v>
      </c>
      <c r="BH14">
        <v>1</v>
      </c>
    </row>
    <row r="15" spans="1:77">
      <c r="A15">
        <v>11</v>
      </c>
      <c r="B15" t="s">
        <v>494</v>
      </c>
      <c r="C15">
        <v>11</v>
      </c>
      <c r="D15">
        <v>109</v>
      </c>
      <c r="X15">
        <v>11</v>
      </c>
      <c r="Y15">
        <v>109</v>
      </c>
      <c r="AU15">
        <v>11</v>
      </c>
      <c r="AV15">
        <v>109</v>
      </c>
      <c r="BC15">
        <v>1</v>
      </c>
      <c r="BF15">
        <v>1</v>
      </c>
      <c r="BM15">
        <v>1</v>
      </c>
      <c r="BY15">
        <v>1</v>
      </c>
    </row>
    <row r="16" spans="1:77">
      <c r="A16">
        <v>12</v>
      </c>
      <c r="B16" t="s">
        <v>506</v>
      </c>
      <c r="C16">
        <v>12</v>
      </c>
      <c r="D16">
        <v>110</v>
      </c>
      <c r="X16">
        <v>12</v>
      </c>
      <c r="Y16">
        <v>110</v>
      </c>
      <c r="AU16">
        <v>12</v>
      </c>
      <c r="AV16">
        <v>110</v>
      </c>
    </row>
    <row r="17" spans="1:76">
      <c r="A17">
        <v>13</v>
      </c>
      <c r="B17" t="s">
        <v>517</v>
      </c>
      <c r="C17">
        <v>13</v>
      </c>
      <c r="D17">
        <v>111</v>
      </c>
      <c r="X17">
        <v>13</v>
      </c>
      <c r="Y17">
        <v>111</v>
      </c>
      <c r="AU17">
        <v>13</v>
      </c>
      <c r="AV17">
        <v>111</v>
      </c>
      <c r="AW17">
        <v>1</v>
      </c>
      <c r="BC17">
        <v>1</v>
      </c>
      <c r="BV17">
        <v>1</v>
      </c>
      <c r="BW17">
        <v>1</v>
      </c>
    </row>
    <row r="18" spans="1:76">
      <c r="A18">
        <v>14</v>
      </c>
      <c r="B18" t="s">
        <v>519</v>
      </c>
      <c r="C18">
        <v>14</v>
      </c>
      <c r="D18">
        <v>112</v>
      </c>
      <c r="X18">
        <v>14</v>
      </c>
      <c r="Y18">
        <v>112</v>
      </c>
      <c r="AU18">
        <v>14</v>
      </c>
      <c r="AV18">
        <v>112</v>
      </c>
    </row>
    <row r="19" spans="1:76">
      <c r="A19">
        <v>15</v>
      </c>
      <c r="B19" t="s">
        <v>520</v>
      </c>
      <c r="C19">
        <v>15</v>
      </c>
      <c r="D19">
        <v>113</v>
      </c>
      <c r="X19">
        <v>15</v>
      </c>
      <c r="Y19">
        <v>113</v>
      </c>
      <c r="AE19">
        <v>1</v>
      </c>
      <c r="AU19">
        <v>15</v>
      </c>
      <c r="AV19">
        <v>113</v>
      </c>
      <c r="BD19">
        <v>1</v>
      </c>
      <c r="BI19">
        <v>1</v>
      </c>
      <c r="BJ19">
        <v>1</v>
      </c>
    </row>
    <row r="20" spans="1:76">
      <c r="A20">
        <v>16</v>
      </c>
      <c r="B20" t="s">
        <v>523</v>
      </c>
      <c r="C20">
        <v>16</v>
      </c>
      <c r="D20">
        <v>115</v>
      </c>
      <c r="X20">
        <v>16</v>
      </c>
      <c r="Y20">
        <v>115</v>
      </c>
      <c r="AU20">
        <v>16</v>
      </c>
      <c r="AV20">
        <v>115</v>
      </c>
    </row>
    <row r="21" spans="1:76">
      <c r="A21">
        <v>17</v>
      </c>
      <c r="B21" t="s">
        <v>525</v>
      </c>
      <c r="C21">
        <v>17</v>
      </c>
      <c r="D21">
        <v>116</v>
      </c>
      <c r="X21">
        <v>17</v>
      </c>
      <c r="Y21">
        <v>116</v>
      </c>
      <c r="AU21">
        <v>17</v>
      </c>
      <c r="AV21">
        <v>116</v>
      </c>
      <c r="BG21">
        <v>1</v>
      </c>
      <c r="BH21">
        <v>1</v>
      </c>
      <c r="BJ21">
        <v>1</v>
      </c>
      <c r="BO21">
        <v>1</v>
      </c>
      <c r="BS21">
        <v>1</v>
      </c>
    </row>
    <row r="22" spans="1:76">
      <c r="A22">
        <v>18</v>
      </c>
      <c r="B22" t="s">
        <v>527</v>
      </c>
      <c r="C22">
        <v>18</v>
      </c>
      <c r="D22">
        <v>118</v>
      </c>
      <c r="K22">
        <v>1</v>
      </c>
      <c r="X22">
        <v>18</v>
      </c>
      <c r="Y22">
        <v>118</v>
      </c>
      <c r="Z22">
        <v>1</v>
      </c>
      <c r="AA22">
        <v>1</v>
      </c>
      <c r="AB22">
        <v>1</v>
      </c>
      <c r="AD22">
        <v>1</v>
      </c>
      <c r="AE22">
        <v>1</v>
      </c>
      <c r="AF22">
        <v>1</v>
      </c>
      <c r="AI22">
        <v>1</v>
      </c>
      <c r="AJ22">
        <v>1</v>
      </c>
      <c r="AM22">
        <v>1</v>
      </c>
      <c r="AR22">
        <v>1</v>
      </c>
      <c r="AU22">
        <v>18</v>
      </c>
      <c r="AV22">
        <v>118</v>
      </c>
      <c r="BJ22">
        <v>1</v>
      </c>
    </row>
    <row r="23" spans="1:76">
      <c r="A23">
        <v>19</v>
      </c>
      <c r="B23" t="s">
        <v>538</v>
      </c>
      <c r="C23">
        <v>19</v>
      </c>
      <c r="D23">
        <v>119</v>
      </c>
      <c r="H23">
        <v>1</v>
      </c>
      <c r="I23">
        <v>1</v>
      </c>
      <c r="J23">
        <v>1</v>
      </c>
      <c r="S23">
        <v>1</v>
      </c>
      <c r="U23">
        <v>1</v>
      </c>
      <c r="X23">
        <v>19</v>
      </c>
      <c r="Y23">
        <v>119</v>
      </c>
      <c r="AU23">
        <v>19</v>
      </c>
      <c r="AV23">
        <v>119</v>
      </c>
      <c r="BE23">
        <v>1</v>
      </c>
    </row>
    <row r="24" spans="1:76">
      <c r="A24">
        <v>20</v>
      </c>
      <c r="B24" t="s">
        <v>540</v>
      </c>
      <c r="C24">
        <v>20</v>
      </c>
      <c r="D24">
        <v>120</v>
      </c>
      <c r="X24">
        <v>20</v>
      </c>
      <c r="Y24">
        <v>120</v>
      </c>
      <c r="AU24">
        <v>20</v>
      </c>
      <c r="AV24">
        <v>120</v>
      </c>
      <c r="BJ24">
        <v>1</v>
      </c>
    </row>
    <row r="25" spans="1:76">
      <c r="A25">
        <v>21</v>
      </c>
      <c r="B25" t="s">
        <v>547</v>
      </c>
      <c r="C25">
        <v>21</v>
      </c>
      <c r="D25">
        <v>121</v>
      </c>
      <c r="X25">
        <v>21</v>
      </c>
      <c r="Y25">
        <v>121</v>
      </c>
      <c r="AU25">
        <v>21</v>
      </c>
      <c r="AV25">
        <v>121</v>
      </c>
    </row>
    <row r="26" spans="1:76">
      <c r="A26">
        <v>22</v>
      </c>
      <c r="B26" t="s">
        <v>548</v>
      </c>
      <c r="C26">
        <v>22</v>
      </c>
      <c r="D26">
        <v>122</v>
      </c>
      <c r="X26">
        <v>22</v>
      </c>
      <c r="Y26">
        <v>122</v>
      </c>
      <c r="AU26">
        <v>22</v>
      </c>
      <c r="AV26">
        <v>122</v>
      </c>
      <c r="BC26">
        <v>1</v>
      </c>
      <c r="BJ26">
        <v>1</v>
      </c>
    </row>
    <row r="27" spans="1:76">
      <c r="A27">
        <v>23</v>
      </c>
      <c r="B27" t="s">
        <v>549</v>
      </c>
      <c r="C27">
        <v>23</v>
      </c>
      <c r="D27">
        <v>123</v>
      </c>
      <c r="X27">
        <v>23</v>
      </c>
      <c r="Y27">
        <v>123</v>
      </c>
      <c r="AU27">
        <v>23</v>
      </c>
      <c r="AV27">
        <v>123</v>
      </c>
    </row>
    <row r="28" spans="1:76">
      <c r="A28">
        <v>24</v>
      </c>
      <c r="B28" t="s">
        <v>5077</v>
      </c>
      <c r="C28">
        <v>24</v>
      </c>
      <c r="D28">
        <v>125</v>
      </c>
      <c r="X28">
        <v>24</v>
      </c>
      <c r="Y28">
        <v>125</v>
      </c>
      <c r="AE28">
        <v>1</v>
      </c>
      <c r="AU28">
        <v>24</v>
      </c>
      <c r="AV28">
        <v>125</v>
      </c>
      <c r="BD28">
        <v>1</v>
      </c>
      <c r="BI28">
        <v>1</v>
      </c>
      <c r="BJ28">
        <v>1</v>
      </c>
    </row>
    <row r="29" spans="1:76">
      <c r="A29">
        <v>25</v>
      </c>
      <c r="B29" t="s">
        <v>550</v>
      </c>
      <c r="C29">
        <v>25</v>
      </c>
      <c r="D29">
        <v>126</v>
      </c>
      <c r="X29">
        <v>25</v>
      </c>
      <c r="Y29">
        <v>126</v>
      </c>
      <c r="AU29">
        <v>25</v>
      </c>
      <c r="AV29">
        <v>126</v>
      </c>
      <c r="BD29">
        <v>1</v>
      </c>
      <c r="BE29">
        <v>1</v>
      </c>
      <c r="BF29">
        <v>1</v>
      </c>
      <c r="BH29">
        <v>1</v>
      </c>
      <c r="BI29">
        <v>1</v>
      </c>
      <c r="BO29">
        <v>1</v>
      </c>
    </row>
    <row r="30" spans="1:76">
      <c r="A30">
        <v>26</v>
      </c>
      <c r="B30" t="s">
        <v>552</v>
      </c>
      <c r="C30">
        <v>26</v>
      </c>
      <c r="D30">
        <v>127</v>
      </c>
      <c r="X30">
        <v>26</v>
      </c>
      <c r="Y30">
        <v>127</v>
      </c>
      <c r="AU30">
        <v>26</v>
      </c>
      <c r="AV30">
        <v>127</v>
      </c>
    </row>
    <row r="31" spans="1:76">
      <c r="A31">
        <v>27</v>
      </c>
      <c r="B31" t="s">
        <v>554</v>
      </c>
      <c r="C31">
        <v>27</v>
      </c>
      <c r="D31">
        <v>135</v>
      </c>
      <c r="X31">
        <v>27</v>
      </c>
      <c r="Y31">
        <v>135</v>
      </c>
      <c r="AU31">
        <v>27</v>
      </c>
      <c r="AV31">
        <v>135</v>
      </c>
      <c r="BX31">
        <v>1</v>
      </c>
    </row>
    <row r="32" spans="1:76">
      <c r="A32">
        <v>28</v>
      </c>
      <c r="B32" t="s">
        <v>560</v>
      </c>
      <c r="C32">
        <v>28</v>
      </c>
      <c r="D32">
        <v>136</v>
      </c>
      <c r="X32">
        <v>28</v>
      </c>
      <c r="Y32">
        <v>136</v>
      </c>
      <c r="AU32">
        <v>28</v>
      </c>
      <c r="AV32">
        <v>136</v>
      </c>
      <c r="BF32">
        <v>1</v>
      </c>
      <c r="BJ32">
        <v>1</v>
      </c>
    </row>
    <row r="33" spans="1:62">
      <c r="A33">
        <v>29</v>
      </c>
      <c r="B33" t="s">
        <v>562</v>
      </c>
      <c r="C33">
        <v>29</v>
      </c>
      <c r="D33">
        <v>138</v>
      </c>
      <c r="X33">
        <v>29</v>
      </c>
      <c r="Y33">
        <v>138</v>
      </c>
      <c r="AU33">
        <v>29</v>
      </c>
      <c r="AV33">
        <v>138</v>
      </c>
    </row>
    <row r="34" spans="1:62">
      <c r="A34">
        <v>30</v>
      </c>
      <c r="B34" t="s">
        <v>563</v>
      </c>
      <c r="C34">
        <v>30</v>
      </c>
      <c r="D34">
        <v>139</v>
      </c>
      <c r="X34">
        <v>30</v>
      </c>
      <c r="Y34">
        <v>139</v>
      </c>
      <c r="AU34">
        <v>30</v>
      </c>
      <c r="AV34">
        <v>139</v>
      </c>
    </row>
    <row r="35" spans="1:62">
      <c r="A35">
        <v>31</v>
      </c>
      <c r="B35" t="s">
        <v>564</v>
      </c>
      <c r="C35">
        <v>31</v>
      </c>
      <c r="D35">
        <v>142</v>
      </c>
      <c r="X35">
        <v>31</v>
      </c>
      <c r="Y35">
        <v>142</v>
      </c>
      <c r="AU35">
        <v>31</v>
      </c>
      <c r="AV35">
        <v>142</v>
      </c>
      <c r="BD35">
        <v>1</v>
      </c>
      <c r="BE35">
        <v>1</v>
      </c>
    </row>
    <row r="36" spans="1:62">
      <c r="A36">
        <v>32</v>
      </c>
      <c r="B36" t="s">
        <v>566</v>
      </c>
      <c r="C36">
        <v>32</v>
      </c>
      <c r="D36">
        <v>145</v>
      </c>
      <c r="X36">
        <v>32</v>
      </c>
      <c r="Y36">
        <v>145</v>
      </c>
      <c r="AT36">
        <v>1</v>
      </c>
      <c r="AU36">
        <v>32</v>
      </c>
      <c r="AV36">
        <v>145</v>
      </c>
      <c r="BA36">
        <v>1</v>
      </c>
    </row>
    <row r="37" spans="1:62">
      <c r="A37">
        <v>33</v>
      </c>
      <c r="B37" t="s">
        <v>96</v>
      </c>
      <c r="C37">
        <v>33</v>
      </c>
      <c r="D37">
        <v>146</v>
      </c>
      <c r="F37">
        <v>1</v>
      </c>
      <c r="H37">
        <v>1</v>
      </c>
      <c r="I37">
        <v>1</v>
      </c>
      <c r="J37">
        <v>1</v>
      </c>
      <c r="K37">
        <v>1</v>
      </c>
      <c r="N37">
        <v>1</v>
      </c>
      <c r="P37">
        <v>1</v>
      </c>
      <c r="S37">
        <v>1</v>
      </c>
      <c r="U37">
        <v>1</v>
      </c>
      <c r="W37">
        <v>1</v>
      </c>
      <c r="X37">
        <v>33</v>
      </c>
      <c r="Y37">
        <v>146</v>
      </c>
      <c r="AU37">
        <v>33</v>
      </c>
      <c r="AV37">
        <v>146</v>
      </c>
      <c r="BE37">
        <v>1</v>
      </c>
      <c r="BJ37">
        <v>1</v>
      </c>
    </row>
    <row r="38" spans="1:62">
      <c r="A38">
        <v>34</v>
      </c>
      <c r="B38" t="s">
        <v>567</v>
      </c>
      <c r="C38">
        <v>34</v>
      </c>
      <c r="D38">
        <v>148</v>
      </c>
      <c r="X38">
        <v>34</v>
      </c>
      <c r="Y38">
        <v>148</v>
      </c>
      <c r="AU38">
        <v>34</v>
      </c>
      <c r="AV38">
        <v>148</v>
      </c>
      <c r="BB38">
        <v>1</v>
      </c>
    </row>
    <row r="39" spans="1:62">
      <c r="A39">
        <v>35</v>
      </c>
      <c r="B39" t="s">
        <v>568</v>
      </c>
      <c r="C39">
        <v>35</v>
      </c>
      <c r="D39">
        <v>149</v>
      </c>
      <c r="X39">
        <v>35</v>
      </c>
      <c r="Y39">
        <v>149</v>
      </c>
      <c r="AU39">
        <v>35</v>
      </c>
      <c r="AV39">
        <v>149</v>
      </c>
      <c r="AX39">
        <v>1</v>
      </c>
      <c r="AY39">
        <v>1</v>
      </c>
      <c r="AZ39">
        <v>1</v>
      </c>
    </row>
    <row r="40" spans="1:62">
      <c r="A40">
        <v>36</v>
      </c>
      <c r="B40" t="s">
        <v>569</v>
      </c>
      <c r="C40">
        <v>36</v>
      </c>
      <c r="D40">
        <v>150</v>
      </c>
      <c r="X40">
        <v>36</v>
      </c>
      <c r="Y40">
        <v>150</v>
      </c>
      <c r="AU40">
        <v>36</v>
      </c>
      <c r="AV40">
        <v>150</v>
      </c>
    </row>
    <row r="41" spans="1:62">
      <c r="A41">
        <v>37</v>
      </c>
      <c r="B41" t="s">
        <v>586</v>
      </c>
      <c r="C41">
        <v>37</v>
      </c>
      <c r="D41">
        <v>162</v>
      </c>
      <c r="X41">
        <v>37</v>
      </c>
      <c r="Y41">
        <v>162</v>
      </c>
      <c r="AU41">
        <v>37</v>
      </c>
      <c r="AV41">
        <v>162</v>
      </c>
    </row>
    <row r="42" spans="1:62">
      <c r="A42">
        <v>38</v>
      </c>
      <c r="B42" t="s">
        <v>588</v>
      </c>
      <c r="C42">
        <v>38</v>
      </c>
      <c r="D42">
        <v>163</v>
      </c>
      <c r="X42">
        <v>38</v>
      </c>
      <c r="Y42">
        <v>163</v>
      </c>
      <c r="AU42">
        <v>38</v>
      </c>
      <c r="AV42">
        <v>163</v>
      </c>
    </row>
    <row r="43" spans="1:62">
      <c r="A43">
        <v>39</v>
      </c>
      <c r="B43" t="s">
        <v>589</v>
      </c>
      <c r="C43">
        <v>39</v>
      </c>
      <c r="D43">
        <v>164</v>
      </c>
      <c r="X43">
        <v>39</v>
      </c>
      <c r="Y43">
        <v>164</v>
      </c>
      <c r="AU43">
        <v>39</v>
      </c>
      <c r="AV43">
        <v>164</v>
      </c>
      <c r="BJ43">
        <v>1</v>
      </c>
    </row>
    <row r="44" spans="1:62">
      <c r="A44">
        <v>40</v>
      </c>
      <c r="B44" t="s">
        <v>590</v>
      </c>
      <c r="C44">
        <v>40</v>
      </c>
      <c r="D44">
        <v>165</v>
      </c>
      <c r="X44">
        <v>40</v>
      </c>
      <c r="Y44">
        <v>165</v>
      </c>
      <c r="AU44">
        <v>40</v>
      </c>
      <c r="AV44">
        <v>165</v>
      </c>
      <c r="AW44">
        <v>1</v>
      </c>
    </row>
    <row r="45" spans="1:62">
      <c r="A45">
        <v>41</v>
      </c>
      <c r="B45" t="s">
        <v>591</v>
      </c>
      <c r="C45">
        <v>41</v>
      </c>
      <c r="D45">
        <v>166</v>
      </c>
      <c r="X45">
        <v>41</v>
      </c>
      <c r="Y45">
        <v>166</v>
      </c>
      <c r="AU45">
        <v>41</v>
      </c>
      <c r="AV45">
        <v>166</v>
      </c>
    </row>
    <row r="46" spans="1:62">
      <c r="A46">
        <v>42</v>
      </c>
      <c r="B46" t="s">
        <v>592</v>
      </c>
      <c r="C46">
        <v>42</v>
      </c>
      <c r="D46">
        <v>167</v>
      </c>
      <c r="X46">
        <v>42</v>
      </c>
      <c r="Y46">
        <v>167</v>
      </c>
      <c r="AU46">
        <v>42</v>
      </c>
      <c r="AV46">
        <v>167</v>
      </c>
    </row>
    <row r="47" spans="1:62">
      <c r="A47">
        <v>43</v>
      </c>
      <c r="B47" t="s">
        <v>593</v>
      </c>
      <c r="C47">
        <v>43</v>
      </c>
      <c r="D47">
        <v>169</v>
      </c>
      <c r="X47">
        <v>43</v>
      </c>
      <c r="Y47">
        <v>169</v>
      </c>
      <c r="AU47">
        <v>43</v>
      </c>
      <c r="AV47">
        <v>169</v>
      </c>
    </row>
    <row r="48" spans="1:62">
      <c r="A48">
        <v>44</v>
      </c>
      <c r="B48" t="s">
        <v>594</v>
      </c>
      <c r="C48">
        <v>44</v>
      </c>
      <c r="D48">
        <v>170</v>
      </c>
      <c r="F48">
        <v>1</v>
      </c>
      <c r="G48">
        <v>1</v>
      </c>
      <c r="H48">
        <v>1</v>
      </c>
      <c r="I48">
        <v>1</v>
      </c>
      <c r="J48">
        <v>1</v>
      </c>
      <c r="L48">
        <v>1</v>
      </c>
      <c r="M48">
        <v>1</v>
      </c>
      <c r="Q48">
        <v>1</v>
      </c>
      <c r="R48">
        <v>1</v>
      </c>
      <c r="S48">
        <v>1</v>
      </c>
      <c r="T48">
        <v>1</v>
      </c>
      <c r="U48">
        <v>1</v>
      </c>
      <c r="V48">
        <v>1</v>
      </c>
      <c r="W48">
        <v>1</v>
      </c>
      <c r="X48">
        <v>44</v>
      </c>
      <c r="Y48">
        <v>170</v>
      </c>
      <c r="AU48">
        <v>44</v>
      </c>
      <c r="AV48">
        <v>170</v>
      </c>
      <c r="BC48">
        <v>1</v>
      </c>
      <c r="BE48">
        <v>1</v>
      </c>
      <c r="BJ48">
        <v>1</v>
      </c>
    </row>
    <row r="49" spans="1:73">
      <c r="A49">
        <v>45</v>
      </c>
      <c r="B49" t="s">
        <v>595</v>
      </c>
      <c r="C49">
        <v>45</v>
      </c>
      <c r="D49">
        <v>172</v>
      </c>
      <c r="X49">
        <v>45</v>
      </c>
      <c r="Y49">
        <v>172</v>
      </c>
      <c r="AU49">
        <v>45</v>
      </c>
      <c r="AV49">
        <v>172</v>
      </c>
    </row>
    <row r="50" spans="1:73">
      <c r="A50">
        <v>46</v>
      </c>
      <c r="B50" t="s">
        <v>596</v>
      </c>
      <c r="C50">
        <v>46</v>
      </c>
      <c r="D50">
        <v>175</v>
      </c>
      <c r="X50">
        <v>46</v>
      </c>
      <c r="Y50">
        <v>175</v>
      </c>
      <c r="AU50">
        <v>46</v>
      </c>
      <c r="AV50">
        <v>175</v>
      </c>
    </row>
    <row r="51" spans="1:73">
      <c r="A51">
        <v>47</v>
      </c>
      <c r="B51" t="s">
        <v>597</v>
      </c>
      <c r="C51">
        <v>47</v>
      </c>
      <c r="D51">
        <v>180</v>
      </c>
      <c r="X51">
        <v>47</v>
      </c>
      <c r="Y51">
        <v>180</v>
      </c>
      <c r="AU51">
        <v>47</v>
      </c>
      <c r="AV51">
        <v>180</v>
      </c>
      <c r="AW51">
        <v>1</v>
      </c>
      <c r="BC51">
        <v>1</v>
      </c>
    </row>
    <row r="52" spans="1:73">
      <c r="A52">
        <v>48</v>
      </c>
      <c r="B52" t="s">
        <v>599</v>
      </c>
      <c r="C52">
        <v>48</v>
      </c>
      <c r="D52">
        <v>184</v>
      </c>
      <c r="X52">
        <v>48</v>
      </c>
      <c r="Y52">
        <v>184</v>
      </c>
      <c r="AU52">
        <v>48</v>
      </c>
      <c r="AV52">
        <v>184</v>
      </c>
    </row>
    <row r="53" spans="1:73">
      <c r="A53">
        <v>49</v>
      </c>
      <c r="B53" t="s">
        <v>600</v>
      </c>
      <c r="C53">
        <v>49</v>
      </c>
      <c r="D53">
        <v>185</v>
      </c>
      <c r="X53">
        <v>49</v>
      </c>
      <c r="Y53">
        <v>185</v>
      </c>
      <c r="AU53">
        <v>49</v>
      </c>
      <c r="AV53">
        <v>185</v>
      </c>
    </row>
    <row r="54" spans="1:73">
      <c r="A54">
        <v>50</v>
      </c>
      <c r="B54" t="s">
        <v>5272</v>
      </c>
      <c r="C54">
        <v>50</v>
      </c>
      <c r="D54">
        <v>186</v>
      </c>
      <c r="X54">
        <v>50</v>
      </c>
      <c r="Y54">
        <v>186</v>
      </c>
      <c r="AU54">
        <v>50</v>
      </c>
      <c r="AV54">
        <v>186</v>
      </c>
      <c r="BP54">
        <v>1</v>
      </c>
      <c r="BQ54">
        <v>1</v>
      </c>
      <c r="BR54">
        <v>1</v>
      </c>
      <c r="BT54">
        <v>1</v>
      </c>
      <c r="BU54">
        <v>1</v>
      </c>
    </row>
    <row r="55" spans="1:73">
      <c r="A55">
        <v>51</v>
      </c>
      <c r="B55" t="s">
        <v>601</v>
      </c>
      <c r="C55">
        <v>51</v>
      </c>
      <c r="D55">
        <v>187</v>
      </c>
      <c r="X55">
        <v>51</v>
      </c>
      <c r="Y55">
        <v>187</v>
      </c>
      <c r="AU55">
        <v>51</v>
      </c>
      <c r="AV55">
        <v>187</v>
      </c>
    </row>
    <row r="56" spans="1:73">
      <c r="A56">
        <v>52</v>
      </c>
      <c r="B56" t="s">
        <v>602</v>
      </c>
      <c r="C56">
        <v>52</v>
      </c>
      <c r="D56">
        <v>188</v>
      </c>
      <c r="X56">
        <v>52</v>
      </c>
      <c r="Y56">
        <v>188</v>
      </c>
      <c r="AU56">
        <v>52</v>
      </c>
      <c r="AV56">
        <v>188</v>
      </c>
    </row>
    <row r="57" spans="1:73">
      <c r="A57">
        <v>53</v>
      </c>
      <c r="B57" t="s">
        <v>603</v>
      </c>
      <c r="C57">
        <v>53</v>
      </c>
      <c r="D57">
        <v>189</v>
      </c>
      <c r="X57">
        <v>53</v>
      </c>
      <c r="Y57">
        <v>189</v>
      </c>
      <c r="AU57">
        <v>53</v>
      </c>
      <c r="AV57">
        <v>189</v>
      </c>
    </row>
    <row r="58" spans="1:73">
      <c r="A58">
        <v>54</v>
      </c>
      <c r="B58" t="s">
        <v>604</v>
      </c>
      <c r="C58">
        <v>54</v>
      </c>
      <c r="D58">
        <v>190</v>
      </c>
      <c r="X58">
        <v>54</v>
      </c>
      <c r="Y58">
        <v>190</v>
      </c>
      <c r="AU58">
        <v>54</v>
      </c>
      <c r="AV58">
        <v>190</v>
      </c>
    </row>
    <row r="59" spans="1:73">
      <c r="A59">
        <v>55</v>
      </c>
      <c r="B59" t="s">
        <v>605</v>
      </c>
      <c r="C59">
        <v>55</v>
      </c>
      <c r="D59">
        <v>191</v>
      </c>
      <c r="X59">
        <v>55</v>
      </c>
      <c r="Y59">
        <v>191</v>
      </c>
      <c r="AU59">
        <v>55</v>
      </c>
      <c r="AV59">
        <v>191</v>
      </c>
    </row>
    <row r="60" spans="1:73">
      <c r="A60">
        <v>56</v>
      </c>
      <c r="B60" t="s">
        <v>606</v>
      </c>
      <c r="C60">
        <v>56</v>
      </c>
      <c r="D60">
        <v>193</v>
      </c>
      <c r="X60">
        <v>56</v>
      </c>
      <c r="Y60">
        <v>193</v>
      </c>
      <c r="AU60">
        <v>56</v>
      </c>
      <c r="AV60">
        <v>193</v>
      </c>
    </row>
    <row r="61" spans="1:73">
      <c r="A61">
        <v>57</v>
      </c>
      <c r="B61" t="s">
        <v>607</v>
      </c>
      <c r="C61">
        <v>57</v>
      </c>
      <c r="D61">
        <v>194</v>
      </c>
      <c r="X61">
        <v>57</v>
      </c>
      <c r="Y61">
        <v>194</v>
      </c>
      <c r="AU61">
        <v>57</v>
      </c>
      <c r="AV61">
        <v>194</v>
      </c>
    </row>
    <row r="62" spans="1:73">
      <c r="A62">
        <v>58</v>
      </c>
      <c r="B62" t="s">
        <v>608</v>
      </c>
      <c r="C62">
        <v>58</v>
      </c>
      <c r="D62">
        <v>195</v>
      </c>
      <c r="X62">
        <v>58</v>
      </c>
      <c r="Y62">
        <v>195</v>
      </c>
      <c r="AE62">
        <v>1</v>
      </c>
      <c r="AU62">
        <v>58</v>
      </c>
      <c r="AV62">
        <v>195</v>
      </c>
    </row>
    <row r="63" spans="1:73">
      <c r="A63">
        <v>59</v>
      </c>
      <c r="B63" t="s">
        <v>610</v>
      </c>
      <c r="C63">
        <v>59</v>
      </c>
      <c r="D63">
        <v>196</v>
      </c>
      <c r="X63">
        <v>59</v>
      </c>
      <c r="Y63">
        <v>196</v>
      </c>
      <c r="AU63">
        <v>59</v>
      </c>
      <c r="AV63">
        <v>196</v>
      </c>
    </row>
    <row r="64" spans="1:73">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3515.0966513789817</v>
      </c>
      <c r="F3" s="376" t="s">
        <v>5279</v>
      </c>
      <c r="G3" s="2"/>
      <c r="I3" t="s">
        <v>7</v>
      </c>
      <c r="J3">
        <f>+'Netunei Gimlai'!B4</f>
        <v>22</v>
      </c>
      <c r="K3" t="str">
        <f>VLOOKUP($J$3,MISRAD!$A$5:$B$81,2,0)</f>
        <v>התחבורה</v>
      </c>
      <c r="L3">
        <f>VLOOKUP($J$3,MISRAD!$A$5:$D$81,4,0)</f>
        <v>122</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140.60386605515927</v>
      </c>
      <c r="F6" s="372" t="s">
        <v>5280</v>
      </c>
      <c r="G6" s="2">
        <f>+SACHAR!AJ11</f>
        <v>0</v>
      </c>
    </row>
    <row r="7" spans="1:12">
      <c r="D7" s="79">
        <f>SUM(D3:D6)</f>
        <v>3655.7005174341411</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804.25411383551102</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0</v>
      </c>
      <c r="F11" s="372" t="s">
        <v>5286</v>
      </c>
      <c r="G11" s="2">
        <f>+SACHAR!AZ11</f>
        <v>0</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804.25411383551102</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v>
      </c>
      <c r="D1" s="324">
        <f>+SACHAR!C9</f>
        <v>1.2008000000000001</v>
      </c>
      <c r="L1" s="325" t="s">
        <v>1400</v>
      </c>
      <c r="M1" s="340">
        <v>1699</v>
      </c>
      <c r="N1" s="320"/>
      <c r="O1" s="325" t="s">
        <v>1430</v>
      </c>
      <c r="P1" s="326">
        <v>5260</v>
      </c>
      <c r="X1" t="s">
        <v>5221</v>
      </c>
    </row>
    <row r="2" spans="1:32" ht="15" thickTop="1">
      <c r="L2" s="321" t="s">
        <v>1395</v>
      </c>
      <c r="M2" s="326">
        <f>MATCH(C1,AE8:AE17,1)</f>
        <v>1</v>
      </c>
      <c r="O2" s="326" t="s">
        <v>1398</v>
      </c>
      <c r="P2" s="326">
        <f>MATCH(C1,Z4:Z15,1)</f>
        <v>2</v>
      </c>
      <c r="X2" t="s">
        <v>5222</v>
      </c>
    </row>
    <row r="3" spans="1:32" ht="16.2">
      <c r="G3" s="319"/>
      <c r="H3" s="79"/>
      <c r="I3" s="209"/>
      <c r="L3" s="321" t="s">
        <v>1393</v>
      </c>
      <c r="M3" s="321">
        <f>VLOOKUP(C1,S4:T237,2,0)</f>
        <v>3710</v>
      </c>
      <c r="N3" s="79"/>
      <c r="O3" s="326" t="s">
        <v>1397</v>
      </c>
      <c r="P3" s="321">
        <f>VLOOKUP(P2,X4:AA15,4,0)</f>
        <v>3710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3242.7541138355109</v>
      </c>
      <c r="N4" s="319"/>
      <c r="O4" s="326" t="s">
        <v>1396</v>
      </c>
      <c r="P4" s="321">
        <f>+P29+M6</f>
        <v>3870.5583667257074</v>
      </c>
      <c r="Q4" s="319">
        <f>+P4-P3</f>
        <v>160.5583667257074</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467.24588616448909</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3515.0966513789817</v>
      </c>
      <c r="L8" s="19" t="s">
        <v>1362</v>
      </c>
      <c r="M8" s="2">
        <f>+SACHAR!Y11</f>
        <v>2438.5</v>
      </c>
      <c r="P8" s="79">
        <f>+M8</f>
        <v>2438.5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",HLOOKUP(F9,SACHAR!$AA$3:$EF$11,7,0))</f>
        <v>4544</v>
      </c>
      <c r="H9" t="str">
        <f>IF(F9=" "," ",HLOOKUP(F9,SACHAR!$AA$3:$EF$11,8,0))</f>
        <v>הסכם 2001 / תוספת 3.6</v>
      </c>
      <c r="I9" s="333">
        <f>IF(F9=" "," ",HLOOKUP(F9,SACHAR!$AA$3:$EF$11,4,0))</f>
        <v>3.5999999999999997E-2</v>
      </c>
      <c r="J9" s="239">
        <f>IF(F9=" "," ",HLOOKUP(F9,SACHAR!$AA$3:$EF$11,9,0))</f>
        <v>160.55836672570746</v>
      </c>
      <c r="L9" t="str">
        <f t="shared" ref="L9:L28" si="1">IF(J9=" "," ",IF(G9=99999," ",VLOOKUP(G9,$A$7:$D$304,3,0)))</f>
        <v>לא</v>
      </c>
      <c r="M9" s="2">
        <f t="shared" ref="M9:M17" si="2">IF(G9=99998,0,IF(L9="כן",J9,0))</f>
        <v>0</v>
      </c>
      <c r="O9" t="str">
        <f t="shared" ref="O9:O28" si="3">IF(J9=" "," ",IF(G9=99998,0,VLOOKUP(G9,$A$7:$D$304,4,0)))</f>
        <v>כן</v>
      </c>
      <c r="P9" s="2">
        <f t="shared" ref="P9:P22" si="4">IF(O9="כן",J9,0)</f>
        <v>160.55836672570746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4550</v>
      </c>
      <c r="H10" t="str">
        <f>IF(F10=" "," ",HLOOKUP(F10,SACHAR!$AA$3:$EF$11,8,0))</f>
        <v>הסכם 2001 אישי</v>
      </c>
      <c r="I10" s="333" t="str">
        <f>IF(F10=" "," ",HLOOKUP(F10,SACHAR!$AA$3:$EF$11,4,0))</f>
        <v xml:space="preserve"> </v>
      </c>
      <c r="J10" s="239">
        <f>IF(F10=" "," ",HLOOKUP(F10,SACHAR!$AA$3:$EF$11,9,0))</f>
        <v>804.25411383551102</v>
      </c>
      <c r="L10" t="str">
        <f t="shared" si="1"/>
        <v>כן</v>
      </c>
      <c r="M10" s="2">
        <f t="shared" si="2"/>
        <v>804.25411383551102</v>
      </c>
      <c r="O10" t="str">
        <f t="shared" si="3"/>
        <v>כן</v>
      </c>
      <c r="P10" s="2">
        <f t="shared" si="4"/>
        <v>804.25411383551102</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4624</v>
      </c>
      <c r="H11" t="str">
        <f>IF(F11=" "," ",HLOOKUP(F11,SACHAR!$AA$3:$EF$11,8,0))</f>
        <v>הסכם 1999</v>
      </c>
      <c r="I11" s="333">
        <f>IF(F11=" "," ",HLOOKUP(F11,SACHAR!$AA$3:$EF$11,4,0))</f>
        <v>0.04</v>
      </c>
      <c r="J11" s="239">
        <f>IF(F11=" "," ",HLOOKUP(F11,SACHAR!$AA$3:$EF$11,9,0))</f>
        <v>140.60386605515927</v>
      </c>
      <c r="L11" t="str">
        <f t="shared" si="1"/>
        <v>לא</v>
      </c>
      <c r="M11" s="2">
        <f t="shared" si="2"/>
        <v>0</v>
      </c>
      <c r="O11" t="str">
        <f t="shared" si="3"/>
        <v>לא</v>
      </c>
      <c r="P11" s="2">
        <f t="shared" si="4"/>
        <v>0</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99998</v>
      </c>
      <c r="H12" t="str">
        <f>IF(F12=" "," ",HLOOKUP(F12,SACHAR!$AA$3:$EF$11,8,0))</f>
        <v>עיגול לחישוב מינימום</v>
      </c>
      <c r="I12" s="333" t="str">
        <f>IF(F12=" "," ",HLOOKUP(F12,SACHAR!$AA$3:$EF$11,4,0))</f>
        <v xml:space="preserve"> </v>
      </c>
      <c r="J12" s="239">
        <f>IF(F12=" "," ",HLOOKUP(F12,SACHAR!$AA$3:$EF$11,9,0))</f>
        <v>1E-3</v>
      </c>
      <c r="L12" t="str">
        <f t="shared" si="1"/>
        <v>כן</v>
      </c>
      <c r="M12" s="2">
        <f t="shared" si="2"/>
        <v>0</v>
      </c>
      <c r="O12">
        <f t="shared" si="3"/>
        <v>0</v>
      </c>
      <c r="P12" s="2">
        <f t="shared" si="4"/>
        <v>0</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t="str">
        <f t="shared" si="5"/>
        <v xml:space="preserve"> </v>
      </c>
      <c r="G13" s="1" t="str">
        <f>IF(F13=" "," ",HLOOKUP(F13,SACHAR!$AA$3:$EF$11,7,0))</f>
        <v xml:space="preserve"> </v>
      </c>
      <c r="H13" t="str">
        <f>IF(F13=" "," ",HLOOKUP(F13,SACHAR!$AA$3:$EF$11,8,0))</f>
        <v xml:space="preserve"> </v>
      </c>
      <c r="I13" s="333" t="str">
        <f>IF(F13=" "," ",HLOOKUP(F13,SACHAR!$AA$3:$EF$11,4,0))</f>
        <v xml:space="preserve"> </v>
      </c>
      <c r="J13" s="239" t="str">
        <f>IF(F13=" "," ",HLOOKUP(F13,SACHAR!$AA$3:$EF$11,9,0))</f>
        <v xml:space="preserve"> </v>
      </c>
      <c r="L13" t="str">
        <f t="shared" si="1"/>
        <v xml:space="preserve"> </v>
      </c>
      <c r="M13" s="2">
        <f t="shared" si="2"/>
        <v>0</v>
      </c>
      <c r="O13" t="str">
        <f t="shared" si="3"/>
        <v xml:space="preserve"> </v>
      </c>
      <c r="P13" s="2">
        <f t="shared" si="4"/>
        <v>0</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t="str">
        <f t="shared" si="5"/>
        <v xml:space="preserve"> </v>
      </c>
      <c r="G14" s="1" t="str">
        <f>IF(F14=" "," ",HLOOKUP(F14,SACHAR!$AA$3:$EF$11,7,0))</f>
        <v xml:space="preserve"> </v>
      </c>
      <c r="H14" t="str">
        <f>IF(F14=" "," ",HLOOKUP(F14,SACHAR!$AA$3:$EF$11,8,0))</f>
        <v xml:space="preserve"> </v>
      </c>
      <c r="I14" s="333" t="str">
        <f>IF(F14=" "," ",HLOOKUP(F14,SACHAR!$AA$3:$EF$11,4,0))</f>
        <v xml:space="preserve"> </v>
      </c>
      <c r="J14" s="239" t="str">
        <f>IF(F14=" "," ",HLOOKUP(F14,SACHAR!$AA$3:$EF$11,9,0))</f>
        <v xml:space="preserve"> </v>
      </c>
      <c r="L14" t="str">
        <f t="shared" si="1"/>
        <v xml:space="preserve"> </v>
      </c>
      <c r="M14" s="2">
        <f t="shared" si="2"/>
        <v>0</v>
      </c>
      <c r="O14" t="str">
        <f t="shared" si="3"/>
        <v xml:space="preserve"> </v>
      </c>
      <c r="P14" s="2">
        <f t="shared" si="4"/>
        <v>0</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t="str">
        <f t="shared" si="5"/>
        <v xml:space="preserve"> </v>
      </c>
      <c r="G15" s="1" t="str">
        <f>IF(F15=" "," ",HLOOKUP(F15,SACHAR!$AA$3:$EF$11,7,0))</f>
        <v xml:space="preserve"> </v>
      </c>
      <c r="H15" t="str">
        <f>IF(F15=" "," ",HLOOKUP(F15,SACHAR!$AA$3:$EF$11,8,0))</f>
        <v xml:space="preserve"> </v>
      </c>
      <c r="I15" s="333" t="str">
        <f>IF(F15=" "," ",HLOOKUP(F15,SACHAR!$AA$3:$EF$11,4,0))</f>
        <v xml:space="preserve"> </v>
      </c>
      <c r="J15" s="239" t="str">
        <f>IF(F15=" "," ",HLOOKUP(F15,SACHAR!$AA$3:$EF$11,9,0))</f>
        <v xml:space="preserve"> </v>
      </c>
      <c r="L15" t="str">
        <f t="shared" si="1"/>
        <v xml:space="preserve"> </v>
      </c>
      <c r="M15" s="2">
        <f t="shared" si="2"/>
        <v>0</v>
      </c>
      <c r="O15" t="str">
        <f t="shared" si="3"/>
        <v xml:space="preserve"> </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t="str">
        <f t="shared" si="5"/>
        <v xml:space="preserve"> </v>
      </c>
      <c r="G16" s="372" t="str">
        <f>IF(F16=" "," ",HLOOKUP(F16,SACHAR!$AA$3:$EF$11,7,0))</f>
        <v xml:space="preserve"> </v>
      </c>
      <c r="H16" t="str">
        <f>IF(F16=" "," ",HLOOKUP(F16,SACHAR!$AA$3:$EF$11,8,0))</f>
        <v xml:space="preserve"> </v>
      </c>
      <c r="I16" s="333" t="str">
        <f>IF(F16=" "," ",HLOOKUP(F16,SACHAR!$AA$3:$EF$11,4,0))</f>
        <v xml:space="preserve"> </v>
      </c>
      <c r="J16" s="239" t="str">
        <f>IF(F16=" "," ",HLOOKUP(F16,SACHAR!$AA$3:$EF$11,9,0))</f>
        <v xml:space="preserve"> </v>
      </c>
      <c r="L16" t="str">
        <f t="shared" si="1"/>
        <v xml:space="preserve"> </v>
      </c>
      <c r="M16" s="2">
        <f t="shared" si="2"/>
        <v>0</v>
      </c>
      <c r="O16" t="str">
        <f t="shared" si="3"/>
        <v xml:space="preserve"> </v>
      </c>
      <c r="P16" s="2">
        <f t="shared" si="4"/>
        <v>0</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t="str">
        <f t="shared" si="5"/>
        <v xml:space="preserve"> </v>
      </c>
      <c r="G17" s="1" t="str">
        <f>IF(F17=" "," ",HLOOKUP(F17,SACHAR!$AA$3:$EF$11,7,0))</f>
        <v xml:space="preserve"> </v>
      </c>
      <c r="H17" t="str">
        <f>IF(F17=" "," ",HLOOKUP(F17,SACHAR!$AA$3:$EF$11,8,0))</f>
        <v xml:space="preserve"> </v>
      </c>
      <c r="I17" s="333" t="str">
        <f>IF(F17=" "," ",HLOOKUP(F17,SACHAR!$AA$3:$EF$11,4,0))</f>
        <v xml:space="preserve"> </v>
      </c>
      <c r="J17" s="239" t="str">
        <f>IF(F17=" "," ",HLOOKUP(F17,SACHAR!$AA$3:$EF$11,9,0))</f>
        <v xml:space="preserve"> </v>
      </c>
      <c r="L17" t="str">
        <f t="shared" si="1"/>
        <v xml:space="preserve"> </v>
      </c>
      <c r="M17" s="2">
        <f t="shared" si="2"/>
        <v>0</v>
      </c>
      <c r="O17" t="str">
        <f t="shared" si="3"/>
        <v xml:space="preserve"> </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t="str">
        <f t="shared" si="5"/>
        <v xml:space="preserve"> </v>
      </c>
      <c r="G18" s="1" t="str">
        <f>IF(F18=" "," ",HLOOKUP(F18,SACHAR!$AA$3:$EF$11,7,0))</f>
        <v xml:space="preserve"> </v>
      </c>
      <c r="H18" t="str">
        <f>IF(F18=" "," ",HLOOKUP(F18,SACHAR!$AA$3:$EF$11,8,0))</f>
        <v xml:space="preserve"> </v>
      </c>
      <c r="I18" s="333" t="str">
        <f>IF(F18=" "," ",HLOOKUP(F18,SACHAR!$AA$3:$EF$11,4,0))</f>
        <v xml:space="preserve"> </v>
      </c>
      <c r="J18" s="239" t="str">
        <f>IF(F18=" "," ",HLOOKUP(F18,SACHAR!$AA$3:$EF$11,9,0))</f>
        <v xml:space="preserve"> </v>
      </c>
      <c r="L18" t="str">
        <f t="shared" si="1"/>
        <v xml:space="preserve"> </v>
      </c>
      <c r="M18" s="2">
        <f>IF(G18=99998,0,IF(L18="כן",J18,0))</f>
        <v>0</v>
      </c>
      <c r="O18" t="str">
        <f t="shared" si="3"/>
        <v xml:space="preserve"> </v>
      </c>
      <c r="P18" s="2">
        <f t="shared" si="4"/>
        <v>0</v>
      </c>
      <c r="R18" s="527">
        <v>3.2008999999999999</v>
      </c>
      <c r="S18" s="528">
        <v>15</v>
      </c>
      <c r="T18" s="79">
        <f t="shared" si="0"/>
        <v>3850</v>
      </c>
      <c r="U18" s="79"/>
      <c r="V18" s="79"/>
    </row>
    <row r="19" spans="1:32" ht="15.6" thickTop="1" thickBot="1">
      <c r="A19" s="306">
        <v>529</v>
      </c>
      <c r="B19" s="300" t="s">
        <v>1278</v>
      </c>
      <c r="C19" s="299" t="s">
        <v>115</v>
      </c>
      <c r="D19" s="299" t="s">
        <v>115</v>
      </c>
      <c r="F19" s="332" t="str">
        <f t="shared" si="5"/>
        <v xml:space="preserve"> </v>
      </c>
      <c r="G19" s="1" t="str">
        <f>IF(F19=" "," ",HLOOKUP(F19,SACHAR!$AA$3:$EF$11,7,0))</f>
        <v xml:space="preserve"> </v>
      </c>
      <c r="H19" t="str">
        <f>IF(F19=" "," ",HLOOKUP(F19,SACHAR!$AA$3:$EF$11,8,0))</f>
        <v xml:space="preserve"> </v>
      </c>
      <c r="I19" s="333" t="str">
        <f>IF(F19=" "," ",HLOOKUP(F19,SACHAR!$AA$3:$EF$11,4,0))</f>
        <v xml:space="preserve"> </v>
      </c>
      <c r="J19" s="239" t="str">
        <f>IF(F19=" "," ",HLOOKUP(F19,SACHAR!$AA$3:$EF$11,9,0))</f>
        <v xml:space="preserve"> </v>
      </c>
      <c r="L19" t="str">
        <f t="shared" si="1"/>
        <v xml:space="preserve"> </v>
      </c>
      <c r="M19" s="2">
        <f t="shared" ref="M19:M28" si="6">IF(G19=99998,0,IF(L19="כן",J19,0))</f>
        <v>0</v>
      </c>
      <c r="O19" t="str">
        <f t="shared" si="3"/>
        <v xml:space="preserve"> </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t="str">
        <f t="shared" si="5"/>
        <v xml:space="preserve"> </v>
      </c>
      <c r="G20" s="1" t="str">
        <f>IF(F20=" "," ",HLOOKUP(F20,SACHAR!$AA$3:$EF$11,7,0))</f>
        <v xml:space="preserve"> </v>
      </c>
      <c r="H20" t="str">
        <f>IF(F20=" "," ",HLOOKUP(F20,SACHAR!$AA$3:$EF$11,8,0))</f>
        <v xml:space="preserve"> </v>
      </c>
      <c r="I20" s="333" t="str">
        <f>IF(F20=" "," ",HLOOKUP(F20,SACHAR!$AA$3:$EF$11,4,0))</f>
        <v xml:space="preserve"> </v>
      </c>
      <c r="J20" s="239" t="str">
        <f>IF(F20=" "," ",HLOOKUP(F20,SACHAR!$AA$3:$EF$11,9,0))</f>
        <v xml:space="preserve"> </v>
      </c>
      <c r="L20" t="str">
        <f t="shared" si="1"/>
        <v xml:space="preserve"> </v>
      </c>
      <c r="M20" s="2">
        <f t="shared" si="6"/>
        <v>0</v>
      </c>
      <c r="O20" t="str">
        <f t="shared" si="3"/>
        <v xml:space="preserve"> </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t="str">
        <f t="shared" si="5"/>
        <v xml:space="preserve"> </v>
      </c>
      <c r="G21" s="1" t="str">
        <f>IF(F21=" "," ",HLOOKUP(F21,SACHAR!$AA$3:$EF$11,7,0))</f>
        <v xml:space="preserve"> </v>
      </c>
      <c r="H21" t="str">
        <f>IF(F21=" "," ",HLOOKUP(F21,SACHAR!$AA$3:$EF$11,8,0))</f>
        <v xml:space="preserve"> </v>
      </c>
      <c r="I21" s="333" t="str">
        <f>IF(F21=" "," ",HLOOKUP(F21,SACHAR!$AA$3:$EF$11,4,0))</f>
        <v xml:space="preserve"> </v>
      </c>
      <c r="J21" s="239" t="str">
        <f>IF(F21=" "," ",HLOOKUP(F21,SACHAR!$AA$3:$EF$11,9,0))</f>
        <v xml:space="preserve"> </v>
      </c>
      <c r="L21" t="str">
        <f t="shared" si="1"/>
        <v xml:space="preserve"> </v>
      </c>
      <c r="M21" s="2">
        <f t="shared" si="6"/>
        <v>0</v>
      </c>
      <c r="O21" t="str">
        <f t="shared" si="3"/>
        <v xml:space="preserve"> </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3403.3124805612183</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12</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12</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2438.5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36.75</v>
      </c>
      <c r="R3" s="19">
        <f>+Q3</f>
        <v>36.75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36.75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36</v>
      </c>
      <c r="S7" s="19">
        <f>VLOOKUP(R7,$A$3:$B$163,2,0)</f>
        <v>145</v>
      </c>
      <c r="T7" s="396" cm="1">
        <f t="array" ref="T7">INDEX($C$3:$N$163,S7,U2)</f>
        <v>1.4307687835915812</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37</v>
      </c>
      <c r="S8" s="19">
        <f>VLOOKUP(R8,$A$3:$B$163,2,0)</f>
        <v>149</v>
      </c>
      <c r="T8" s="396" cm="1">
        <f t="array" ref="T8">INDEX(C3:N163,S8,U2)</f>
        <v>1.4450764714274971</v>
      </c>
      <c r="U8" s="284">
        <f>+(T8-T7)</f>
        <v>1.430768783591585E-2</v>
      </c>
      <c r="V8" s="285">
        <f>+U8*R10</f>
        <v>1.0730765876936887E-2</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1.4414995494685181</v>
      </c>
      <c r="U10" s="19" t="s">
        <v>1215</v>
      </c>
      <c r="V10" s="286">
        <f>+V1*(T10-1)</f>
        <v>1076.5966513789815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3515.0966513789817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v>
      </c>
      <c r="L1" t="s">
        <v>1203</v>
      </c>
      <c r="M1" s="84">
        <f>IF(F4&lt;L3,0,IF(F4&lt;M3,L4,IF(F4&lt;N3,M4,IF(F4&lt;N3,M4,IF(F4&lt;O3,N4,O4)))))</f>
        <v>0</v>
      </c>
      <c r="O1" s="10"/>
      <c r="Q1" s="10"/>
      <c r="S1" s="10"/>
    </row>
    <row r="2" spans="1:26">
      <c r="E2" t="s">
        <v>58</v>
      </c>
      <c r="F2">
        <f>+SACHAR!O11</f>
        <v>1012</v>
      </c>
      <c r="G2" s="67"/>
      <c r="I2" s="9">
        <v>1.2009000000000001</v>
      </c>
      <c r="J2">
        <v>1.2013</v>
      </c>
      <c r="K2" s="10"/>
      <c r="L2">
        <v>1.2011000000000001</v>
      </c>
      <c r="M2">
        <v>1.2012</v>
      </c>
      <c r="N2">
        <v>1.2013</v>
      </c>
      <c r="O2" s="10">
        <v>7.2012999999999998</v>
      </c>
      <c r="Q2" s="10"/>
      <c r="S2" s="10"/>
    </row>
    <row r="3" spans="1:26">
      <c r="E3" t="s">
        <v>9</v>
      </c>
      <c r="F3">
        <f>+SACHAR!C9</f>
        <v>1.2008000000000001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1.2008000000000001</v>
      </c>
      <c r="F2" s="2" cm="1">
        <f t="array" ref="F2:R2">INDEX(H7:T232,C3,C1)</f>
        <v>576</v>
      </c>
      <c r="G2">
        <v>734</v>
      </c>
      <c r="H2">
        <v>838</v>
      </c>
      <c r="I2">
        <v>942</v>
      </c>
      <c r="J2">
        <v>0</v>
      </c>
      <c r="K2">
        <v>0</v>
      </c>
      <c r="L2">
        <v>0</v>
      </c>
      <c r="M2">
        <v>0</v>
      </c>
      <c r="N2">
        <v>0</v>
      </c>
      <c r="O2">
        <v>0</v>
      </c>
      <c r="P2">
        <v>0</v>
      </c>
      <c r="Q2" s="311">
        <v>0</v>
      </c>
      <c r="R2">
        <v>0</v>
      </c>
    </row>
    <row r="3" spans="1:19">
      <c r="B3" s="1" t="s">
        <v>252</v>
      </c>
      <c r="C3">
        <f>+'Netunei Gimlai'!B6</f>
        <v>1</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3515.0966513789817</v>
      </c>
      <c r="O4" s="406">
        <v>1</v>
      </c>
      <c r="P4" s="1">
        <f>IF(O4=" "," ",HLOOKUP(O4,SACHAR4643!$AA$3:$DK$11,7,0))</f>
        <v>10002</v>
      </c>
      <c r="Q4" t="str">
        <f>IF(O4=" "," ",HLOOKUP(O4,SACHAR4643!$AA$3:$DK$11,8,0))</f>
        <v>שכר משולב</v>
      </c>
      <c r="R4" s="333" t="str">
        <f>IF(O4=" "," ",HLOOKUP(O4,SACHAR4643!$AA$3:$DK$11,4,0))</f>
        <v xml:space="preserve"> </v>
      </c>
      <c r="S4" s="239">
        <f>IF(O4=" "," ",HLOOKUP(O4,SACHAR4643!$AA$3:$DK$11,9,0))</f>
        <v>3515.0966513789817</v>
      </c>
    </row>
    <row r="5" spans="1:19">
      <c r="A5" s="9" t="s">
        <v>186</v>
      </c>
      <c r="B5">
        <v>11</v>
      </c>
      <c r="C5">
        <v>40</v>
      </c>
      <c r="D5" s="1" t="s">
        <v>190</v>
      </c>
      <c r="E5" s="189" cm="1">
        <f t="array" ref="E5">INDEX(kodderugdarga!$AJ$3:$AT$112,$C$5,$B$5)</f>
        <v>11008</v>
      </c>
      <c r="H5" s="406">
        <f>+'Netunei Gimlai'!L4</f>
        <v>2</v>
      </c>
      <c r="I5" s="407">
        <f>+'Netunei Gimlai'!M4</f>
        <v>4544</v>
      </c>
      <c r="J5" s="407" t="str">
        <f>+'Netunei Gimlai'!O4</f>
        <v>הסכם 2001 / תוספת 3.6</v>
      </c>
      <c r="K5" s="408">
        <f>+'Netunei Gimlai'!P4</f>
        <v>3.5999999999999997E-2</v>
      </c>
      <c r="L5" s="409">
        <f>+'Netunei Gimlai'!Q4</f>
        <v>160.55836672570746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140.60386605515927</v>
      </c>
    </row>
    <row r="6" spans="1:19">
      <c r="H6" s="406">
        <f>+'Netunei Gimlai'!L5</f>
        <v>3</v>
      </c>
      <c r="I6" s="407">
        <f>+'Netunei Gimlai'!M5</f>
        <v>4550</v>
      </c>
      <c r="J6" s="407" t="str">
        <f>+'Netunei Gimlai'!O5</f>
        <v>הסכם 2001 אישי</v>
      </c>
      <c r="K6" s="408" t="str">
        <f>+'Netunei Gimlai'!P5</f>
        <v xml:space="preserve"> </v>
      </c>
      <c r="L6" s="409">
        <f>+'Netunei Gimlai'!Q5</f>
        <v>804.25411383551102</v>
      </c>
      <c r="O6" s="332">
        <f t="shared" si="0"/>
        <v>3</v>
      </c>
      <c r="P6" s="1" t="str">
        <f>IF(O6=" "," ",HLOOKUP(O6,SACHAR4643!$AA$3:$DK$11,7,0))</f>
        <v>1037 / 4544</v>
      </c>
      <c r="Q6" t="str">
        <f>IF(O6=" "," ",HLOOKUP(O6,SACHAR4643!$AA$3:$DK$11,8,0))</f>
        <v>הסכם 2001 / תוספת 3.6</v>
      </c>
      <c r="R6" s="333">
        <f>IF(O6=" "," ",HLOOKUP(O6,SACHAR4643!$AA$3:$DK$11,4,0))</f>
        <v>3.5999999999999997E-2</v>
      </c>
      <c r="S6" s="239">
        <f>IF(O6=" "," ",HLOOKUP(O6,SACHAR4643!$AA$3:$DK$11,9,0))</f>
        <v>160.55836672570746</v>
      </c>
    </row>
    <row r="7" spans="1:19">
      <c r="H7" s="406">
        <f>+'Netunei Gimlai'!L6</f>
        <v>4</v>
      </c>
      <c r="I7" s="407">
        <f>+'Netunei Gimlai'!M6</f>
        <v>4624</v>
      </c>
      <c r="J7" s="407" t="str">
        <f>+'Netunei Gimlai'!O6</f>
        <v>הסכם 1999</v>
      </c>
      <c r="K7" s="408">
        <f>+'Netunei Gimlai'!P6</f>
        <v>0.04</v>
      </c>
      <c r="L7" s="409">
        <f>+'Netunei Gimlai'!Q6</f>
        <v>140.60386605515927</v>
      </c>
      <c r="O7" s="332">
        <f t="shared" si="0"/>
        <v>4</v>
      </c>
      <c r="P7" s="1" t="str">
        <f>IF(O7=" "," ",HLOOKUP(O7,SACHAR4643!$AA$3:$DK$11,7,0))</f>
        <v>1040 / 4550</v>
      </c>
      <c r="Q7" t="str">
        <f>IF(O7=" "," ",HLOOKUP(O7,SACHAR4643!$AA$3:$DK$11,8,0))</f>
        <v>הסכם 2001 אישי</v>
      </c>
      <c r="R7" s="333" t="str">
        <f>IF(O7=" "," ",HLOOKUP(O7,SACHAR4643!$AA$3:$DK$11,4,0))</f>
        <v xml:space="preserve"> </v>
      </c>
      <c r="S7" s="239">
        <f>IF(O7=" "," ",HLOOKUP(O7,SACHAR4643!$AA$3:$DK$11,9,0))</f>
        <v>804.25411383551102</v>
      </c>
    </row>
    <row r="8" spans="1:19">
      <c r="H8" s="406">
        <f>+'Netunei Gimlai'!L7</f>
        <v>5</v>
      </c>
      <c r="I8" s="407">
        <f>+'Netunei Gimlai'!M7</f>
        <v>99998</v>
      </c>
      <c r="J8" s="407" t="str">
        <f>+'Netunei Gimlai'!O7</f>
        <v>עיגול לחישוב מינימום</v>
      </c>
      <c r="K8" s="408" t="str">
        <f>+'Netunei Gimlai'!P7</f>
        <v xml:space="preserve"> </v>
      </c>
      <c r="L8" s="409">
        <f>+'Netunei Gimlai'!Q7</f>
        <v>1E-3</v>
      </c>
      <c r="O8" s="332">
        <f t="shared" si="0"/>
        <v>5</v>
      </c>
      <c r="P8" s="1">
        <f>IF(O8=" "," ",HLOOKUP(O8,SACHAR4643!$AA$3:$DK$11,7,0))</f>
        <v>99998</v>
      </c>
      <c r="Q8" t="str">
        <f>IF(O8=" "," ",HLOOKUP(O8,SACHAR4643!$AA$3:$DK$11,8,0))</f>
        <v>עיגול לחישוב מינימום</v>
      </c>
      <c r="R8" s="333" t="str">
        <f>IF(O8=" "," ",HLOOKUP(O8,SACHAR4643!$AA$3:$DK$11,4,0))</f>
        <v xml:space="preserve"> </v>
      </c>
      <c r="S8" s="239">
        <f>IF(O8=" "," ",HLOOKUP(O8,SACHAR4643!$AA$3:$DK$11,9,0))</f>
        <v>1E-3</v>
      </c>
    </row>
    <row r="9" spans="1:19">
      <c r="H9" s="406">
        <f>+'Netunei Gimlai'!L8</f>
        <v>6</v>
      </c>
      <c r="I9" s="407">
        <f>+'Netunei Gimlai'!M8</f>
        <v>1699</v>
      </c>
      <c r="J9" s="407" t="str">
        <f>+'Netunei Gimlai'!O8</f>
        <v>תוספת חוק מינימום</v>
      </c>
      <c r="K9" s="408" t="str">
        <f>+'Netunei Gimlai'!P8</f>
        <v xml:space="preserve"> </v>
      </c>
      <c r="L9" s="409">
        <f>+'Netunei Gimlai'!Q8</f>
        <v>467.24588616448909</v>
      </c>
      <c r="O9" s="332">
        <f t="shared" si="0"/>
        <v>6</v>
      </c>
      <c r="P9" s="1">
        <f>IF(O9=" "," ",HLOOKUP(O9,SACHAR4643!$AA$3:$DK$11,7,0))</f>
        <v>1699</v>
      </c>
      <c r="Q9" t="str">
        <f>IF(O9=" "," ",HLOOKUP(O9,SACHAR4643!$AA$3:$DK$11,8,0))</f>
        <v>תוספת חוק מינימום</v>
      </c>
      <c r="R9" s="333" t="str">
        <f>IF(O9=" "," ",HLOOKUP(O9,SACHAR4643!$AA$3:$DK$11,4,0))</f>
        <v xml:space="preserve"> </v>
      </c>
      <c r="S9" s="239">
        <f>IF(O9=" "," ",HLOOKUP(O9,SACHAR4643!$AA$3:$DK$11,9,0))</f>
        <v>467.24588616448909</v>
      </c>
    </row>
    <row r="10" spans="1:19">
      <c r="H10" s="406">
        <f>+'Netunei Gimlai'!L9</f>
        <v>7</v>
      </c>
      <c r="I10" s="407">
        <f>+'Netunei Gimlai'!M9</f>
        <v>99999</v>
      </c>
      <c r="J10" s="407" t="str">
        <f>+'Netunei Gimlai'!O9</f>
        <v>סה"כ מרכיבי שכר שוטף</v>
      </c>
      <c r="K10" s="408" t="str">
        <f>+'Netunei Gimlai'!P9</f>
        <v xml:space="preserve"> </v>
      </c>
      <c r="L10" s="409">
        <f>+'Netunei Gimlai'!Q9</f>
        <v>5087.7598841598492</v>
      </c>
      <c r="O10" s="332">
        <f t="shared" si="0"/>
        <v>7</v>
      </c>
      <c r="P10" s="1">
        <f>IF(O10=" "," ",HLOOKUP(O10,SACHAR4643!$AA$3:$DK$11,7,0))</f>
        <v>99999</v>
      </c>
      <c r="Q10" t="str">
        <f>IF(O10=" "," ",HLOOKUP(O10,SACHAR4643!$AA$3:$DK$11,8,0))</f>
        <v>ברוטו פנסיוני</v>
      </c>
      <c r="R10" s="333" t="str">
        <f>IF(O10=" "," ",HLOOKUP(O10,SACHAR4643!$AA$3:$DK$11,4,0))</f>
        <v xml:space="preserve"> </v>
      </c>
      <c r="S10" s="239">
        <f>IF(O10=" "," ",HLOOKUP(O10,SACHAR4643!$AA$3:$DK$11,9,0))</f>
        <v>5087.7598841598492</v>
      </c>
    </row>
    <row r="11" spans="1:19">
      <c r="H11" s="406" t="str">
        <f>+'Netunei Gimlai'!L10</f>
        <v xml:space="preserve"> </v>
      </c>
      <c r="I11" s="407" t="str">
        <f>+'Netunei Gimlai'!M10</f>
        <v xml:space="preserve"> </v>
      </c>
      <c r="J11" s="407" t="str">
        <f>+'Netunei Gimlai'!O10</f>
        <v xml:space="preserve"> </v>
      </c>
      <c r="K11" s="408" t="str">
        <f>+'Netunei Gimlai'!P10</f>
        <v xml:space="preserve"> </v>
      </c>
      <c r="L11" s="409" t="str">
        <f>+'Netunei Gimlai'!Q10</f>
        <v xml:space="preserve"> </v>
      </c>
      <c r="O11" s="332" t="str">
        <f t="shared" si="0"/>
        <v xml:space="preserve"> </v>
      </c>
      <c r="P11" s="1" t="str">
        <f>IF(O11=" "," ",HLOOKUP(O11,SACHAR4643!$AA$3:$DK$11,7,0))</f>
        <v xml:space="preserve"> </v>
      </c>
      <c r="Q11" t="str">
        <f>IF(O11=" "," ",HLOOKUP(O11,SACHAR4643!$AA$3:$DK$11,8,0))</f>
        <v xml:space="preserve"> </v>
      </c>
      <c r="R11" s="333" t="str">
        <f>IF(O11=" "," ",HLOOKUP(O11,SACHAR4643!$AA$3:$DK$11,4,0))</f>
        <v xml:space="preserve"> </v>
      </c>
      <c r="S11" s="239" t="str">
        <f>IF(O11=" "," ",HLOOKUP(O11,SACHAR4643!$AA$3:$DK$11,9,0))</f>
        <v xml:space="preserve"> </v>
      </c>
    </row>
    <row r="12" spans="1:19">
      <c r="H12" s="406" t="str">
        <f>+'Netunei Gimlai'!L11</f>
        <v xml:space="preserve"> </v>
      </c>
      <c r="I12" s="407" t="str">
        <f>+'Netunei Gimlai'!M11</f>
        <v xml:space="preserve"> </v>
      </c>
      <c r="J12" s="407" t="str">
        <f>+'Netunei Gimlai'!O11</f>
        <v xml:space="preserve"> </v>
      </c>
      <c r="K12" s="408" t="str">
        <f>+'Netunei Gimlai'!P11</f>
        <v xml:space="preserve"> </v>
      </c>
      <c r="L12" s="409" t="str">
        <f>+'Netunei Gimlai'!Q11</f>
        <v xml:space="preserve"> </v>
      </c>
      <c r="O12" s="332" t="str">
        <f t="shared" si="0"/>
        <v xml:space="preserve"> </v>
      </c>
      <c r="P12" s="1" t="str">
        <f>IF(O12=" "," ",HLOOKUP(O12,SACHAR4643!$AA$3:$DK$11,7,0))</f>
        <v xml:space="preserve"> </v>
      </c>
      <c r="Q12" t="str">
        <f>IF(O12=" "," ",HLOOKUP(O12,SACHAR4643!$AA$3:$DK$11,8,0))</f>
        <v xml:space="preserve"> </v>
      </c>
      <c r="R12" s="333" t="str">
        <f>IF(O12=" "," ",HLOOKUP(O12,SACHAR4643!$AA$3:$DK$11,4,0))</f>
        <v xml:space="preserve"> </v>
      </c>
      <c r="S12" s="239" t="str">
        <f>IF(O12=" "," ",HLOOKUP(O12,SACHAR4643!$AA$3:$DK$11,9,0))</f>
        <v xml:space="preserve"> </v>
      </c>
    </row>
    <row r="13" spans="1:19">
      <c r="H13" s="406" t="str">
        <f>+'Netunei Gimlai'!L12</f>
        <v xml:space="preserve"> </v>
      </c>
      <c r="I13" s="407" t="str">
        <f>+'Netunei Gimlai'!M12</f>
        <v xml:space="preserve"> </v>
      </c>
      <c r="J13" s="407" t="str">
        <f>+'Netunei Gimlai'!O12</f>
        <v xml:space="preserve"> </v>
      </c>
      <c r="K13" s="408" t="str">
        <f>+'Netunei Gimlai'!P12</f>
        <v xml:space="preserve"> </v>
      </c>
      <c r="L13" s="409" t="str">
        <f>+'Netunei Gimlai'!Q12</f>
        <v xml:space="preserve"> </v>
      </c>
      <c r="O13" s="332" t="str">
        <f t="shared" si="0"/>
        <v xml:space="preserve"> </v>
      </c>
      <c r="P13" s="1" t="str">
        <f>IF(O13=" "," ",HLOOKUP(O13,SACHAR4643!$AA$3:$DK$11,7,0))</f>
        <v xml:space="preserve"> </v>
      </c>
      <c r="Q13" t="str">
        <f>IF(O13=" "," ",HLOOKUP(O13,SACHAR4643!$AA$3:$DK$11,8,0))</f>
        <v xml:space="preserve"> </v>
      </c>
      <c r="R13" s="333" t="str">
        <f>IF(O13=" "," ",HLOOKUP(O13,SACHAR4643!$AA$3:$DK$11,4,0))</f>
        <v xml:space="preserve"> </v>
      </c>
      <c r="S13" s="239" t="str">
        <f>IF(O13=" "," ",HLOOKUP(O13,SACHAR4643!$AA$3:$DK$11,9,0))</f>
        <v xml:space="preserve"> </v>
      </c>
    </row>
    <row r="14" spans="1:19">
      <c r="H14" s="406" t="str">
        <f>+'Netunei Gimlai'!L13</f>
        <v xml:space="preserve"> </v>
      </c>
      <c r="I14" s="407" t="str">
        <f>+'Netunei Gimlai'!M13</f>
        <v xml:space="preserve"> </v>
      </c>
      <c r="J14" s="407" t="str">
        <f>+'Netunei Gimlai'!O13</f>
        <v xml:space="preserve"> </v>
      </c>
      <c r="K14" s="408" t="str">
        <f>+'Netunei Gimlai'!P13</f>
        <v xml:space="preserve"> </v>
      </c>
      <c r="L14" s="409" t="str">
        <f>+'Netunei Gimlai'!Q13</f>
        <v xml:space="preserve"> </v>
      </c>
      <c r="O14" s="332" t="str">
        <f t="shared" si="0"/>
        <v xml:space="preserve"> </v>
      </c>
      <c r="P14" s="1" t="str">
        <f>IF(O14=" "," ",HLOOKUP(O14,SACHAR4643!$AA$3:$DK$11,7,0))</f>
        <v xml:space="preserve"> </v>
      </c>
      <c r="Q14" t="str">
        <f>IF(O14=" "," ",HLOOKUP(O14,SACHAR4643!$AA$3:$DK$11,8,0))</f>
        <v xml:space="preserve"> </v>
      </c>
      <c r="R14" s="333" t="str">
        <f>IF(O14=" "," ",HLOOKUP(O14,SACHAR4643!$AA$3:$DK$11,4,0))</f>
        <v xml:space="preserve"> </v>
      </c>
      <c r="S14" s="239" t="str">
        <f>IF(O14=" "," ",HLOOKUP(O14,SACHAR4643!$AA$3:$DK$11,9,0))</f>
        <v xml:space="preserve"> </v>
      </c>
    </row>
    <row r="15" spans="1:19">
      <c r="H15" s="406" t="str">
        <f>+'Netunei Gimlai'!L14</f>
        <v xml:space="preserve"> </v>
      </c>
      <c r="I15" s="407" t="str">
        <f>+'Netunei Gimlai'!M14</f>
        <v xml:space="preserve"> </v>
      </c>
      <c r="J15" s="407" t="str">
        <f>+'Netunei Gimlai'!O14</f>
        <v xml:space="preserve"> </v>
      </c>
      <c r="K15" s="408" t="str">
        <f>+'Netunei Gimlai'!P14</f>
        <v xml:space="preserve"> </v>
      </c>
      <c r="L15" s="409" t="str">
        <f>+'Netunei Gimlai'!Q14</f>
        <v xml:space="preserve"> </v>
      </c>
      <c r="O15" s="332" t="str">
        <f t="shared" si="0"/>
        <v xml:space="preserve"> </v>
      </c>
      <c r="P15" s="1" t="str">
        <f>IF(O15=" "," ",HLOOKUP(O15,SACHAR4643!$AA$3:$DK$11,7,0))</f>
        <v xml:space="preserve"> </v>
      </c>
      <c r="Q15" t="str">
        <f>IF(O15=" "," ",HLOOKUP(O15,SACHAR4643!$AA$3:$DK$11,8,0))</f>
        <v xml:space="preserve"> </v>
      </c>
      <c r="R15" s="333" t="str">
        <f>IF(O15=" "," ",HLOOKUP(O15,SACHAR4643!$AA$3:$DK$11,4,0))</f>
        <v xml:space="preserve"> </v>
      </c>
      <c r="S15" s="239" t="str">
        <f>IF(O15=" "," ",HLOOKUP(O15,SACHAR4643!$AA$3:$DK$11,9,0))</f>
        <v xml:space="preserve"> </v>
      </c>
    </row>
    <row r="16" spans="1:19">
      <c r="H16" s="406" t="str">
        <f>+'Netunei Gimlai'!L15</f>
        <v xml:space="preserve"> </v>
      </c>
      <c r="I16" s="407" t="str">
        <f>+'Netunei Gimlai'!M15</f>
        <v xml:space="preserve"> </v>
      </c>
      <c r="J16" s="407" t="str">
        <f>+'Netunei Gimlai'!O15</f>
        <v xml:space="preserve"> </v>
      </c>
      <c r="K16" s="408" t="str">
        <f>+'Netunei Gimlai'!P15</f>
        <v xml:space="preserve"> </v>
      </c>
      <c r="L16" s="409" t="str">
        <f>+'Netunei Gimlai'!Q15</f>
        <v xml:space="preserve"> </v>
      </c>
      <c r="O16" s="332" t="str">
        <f t="shared" si="0"/>
        <v xml:space="preserve"> </v>
      </c>
      <c r="P16" s="1" t="str">
        <f>IF(O16=" "," ",HLOOKUP(O16,SACHAR4643!$AA$3:$DK$11,7,0))</f>
        <v xml:space="preserve"> </v>
      </c>
      <c r="Q16" t="str">
        <f>IF(O16=" "," ",HLOOKUP(O16,SACHAR4643!$AA$3:$DK$11,8,0))</f>
        <v xml:space="preserve"> </v>
      </c>
      <c r="R16" s="333" t="str">
        <f>IF(O16=" "," ",HLOOKUP(O16,SACHAR4643!$AA$3:$DK$11,4,0))</f>
        <v xml:space="preserve"> </v>
      </c>
      <c r="S16" s="239" t="str">
        <f>IF(O16=" "," ",HLOOKUP(O16,SACHAR4643!$AA$3:$DK$11,9,0))</f>
        <v xml:space="preserve"> </v>
      </c>
    </row>
    <row r="17" spans="8:19">
      <c r="H17" s="406" t="str">
        <f>+'Netunei Gimlai'!L16</f>
        <v xml:space="preserve"> </v>
      </c>
      <c r="I17" s="407" t="str">
        <f>+'Netunei Gimlai'!M16</f>
        <v xml:space="preserve"> </v>
      </c>
      <c r="J17" s="407" t="str">
        <f>+'Netunei Gimlai'!O16</f>
        <v xml:space="preserve"> </v>
      </c>
      <c r="K17" s="408" t="str">
        <f>+'Netunei Gimlai'!P16</f>
        <v xml:space="preserve"> </v>
      </c>
      <c r="L17" s="409" t="str">
        <f>+'Netunei Gimlai'!Q16</f>
        <v xml:space="preserve"> </v>
      </c>
      <c r="O17" s="332" t="str">
        <f t="shared" si="0"/>
        <v xml:space="preserve"> </v>
      </c>
      <c r="P17" s="1" t="str">
        <f>IF(O17=" "," ",HLOOKUP(O17,SACHAR4643!$AA$3:$DK$11,7,0))</f>
        <v xml:space="preserve"> </v>
      </c>
      <c r="Q17" t="str">
        <f>IF(O17=" "," ",HLOOKUP(O17,SACHAR4643!$AA$3:$DK$11,8,0))</f>
        <v xml:space="preserve"> </v>
      </c>
      <c r="R17" s="333" t="str">
        <f>IF(O17=" "," ",HLOOKUP(O17,SACHAR4643!$AA$3:$DK$11,4,0))</f>
        <v xml:space="preserve"> </v>
      </c>
      <c r="S17" s="239" t="str">
        <f>IF(O17=" "," ",HLOOKUP(O17,SACHAR4643!$AA$3:$DK$11,9,0))</f>
        <v xml:space="preserve"> </v>
      </c>
    </row>
    <row r="18" spans="8:19">
      <c r="H18" s="406" t="str">
        <f>+'Netunei Gimlai'!L17</f>
        <v xml:space="preserve"> </v>
      </c>
      <c r="I18" s="407" t="str">
        <f>+'Netunei Gimlai'!M17</f>
        <v xml:space="preserve"> </v>
      </c>
      <c r="J18" s="407" t="str">
        <f>+'Netunei Gimlai'!O17</f>
        <v xml:space="preserve"> </v>
      </c>
      <c r="K18" s="408" t="str">
        <f>+'Netunei Gimlai'!P17</f>
        <v xml:space="preserve"> </v>
      </c>
      <c r="L18" s="409" t="str">
        <f>+'Netunei Gimlai'!Q17</f>
        <v xml:space="preserve"> </v>
      </c>
      <c r="O18" s="332" t="str">
        <f t="shared" ref="O18:O27" si="1">IF(O17=" "," ",IF(P17=99999," ",+O17+1))</f>
        <v xml:space="preserve"> </v>
      </c>
      <c r="P18" s="1" t="str">
        <f>IF(O18=" "," ",HLOOKUP(O18,SACHAR4643!$AA$3:$DK$11,7,0))</f>
        <v xml:space="preserve"> </v>
      </c>
      <c r="Q18" t="str">
        <f>IF(O18=" "," ",HLOOKUP(O18,SACHAR4643!$AA$3:$DK$11,8,0))</f>
        <v xml:space="preserve"> </v>
      </c>
      <c r="R18" s="333" t="str">
        <f>IF(O18=" "," ",HLOOKUP(O18,SACHAR4643!$AA$3:$DK$11,4,0))</f>
        <v xml:space="preserve"> </v>
      </c>
      <c r="S18" s="239" t="str">
        <f>IF(O18=" "," ",HLOOKUP(O18,SACHAR4643!$AA$3:$DK$11,9,0))</f>
        <v xml:space="preserve"> </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t="str">
        <f t="shared" si="1"/>
        <v xml:space="preserve"> </v>
      </c>
      <c r="P19" s="1" t="str">
        <f>IF(O19=" "," ",HLOOKUP(O19,SACHAR4643!$AA$3:$DK$11,7,0))</f>
        <v xml:space="preserve"> </v>
      </c>
      <c r="Q19" t="str">
        <f>IF(O19=" "," ",HLOOKUP(O19,SACHAR4643!$AA$3:$DK$11,8,0))</f>
        <v xml:space="preserve"> </v>
      </c>
      <c r="R19" s="333" t="str">
        <f>IF(O19=" "," ",HLOOKUP(O19,SACHAR4643!$AA$3:$DK$11,4,0))</f>
        <v xml:space="preserve"> </v>
      </c>
      <c r="S19" s="239" t="str">
        <f>IF(O19=" "," ",HLOOKUP(O19,SACHAR4643!$AA$3:$DK$11,9,0))</f>
        <v xml:space="preserve"> </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3</v>
      </c>
      <c r="CC3">
        <f t="shared" si="0"/>
        <v>0</v>
      </c>
      <c r="CD3">
        <f t="shared" si="0"/>
        <v>0</v>
      </c>
      <c r="CE3">
        <f t="shared" si="0"/>
        <v>0</v>
      </c>
      <c r="CF3">
        <f t="shared" si="0"/>
        <v>0</v>
      </c>
      <c r="CG3">
        <f t="shared" si="0"/>
        <v>0</v>
      </c>
      <c r="CH3">
        <f t="shared" si="0"/>
        <v>0</v>
      </c>
      <c r="CI3">
        <f t="shared" si="0"/>
        <v>0</v>
      </c>
      <c r="CJ3">
        <f t="shared" si="0"/>
        <v>0</v>
      </c>
      <c r="CK3">
        <f t="shared" si="0"/>
        <v>0</v>
      </c>
      <c r="CL3">
        <f t="shared" si="0"/>
        <v>4</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0</v>
      </c>
      <c r="DC3">
        <f t="shared" si="1"/>
        <v>0</v>
      </c>
      <c r="DD3">
        <f t="shared" si="1"/>
        <v>0</v>
      </c>
      <c r="DE3">
        <f t="shared" si="1"/>
        <v>0</v>
      </c>
      <c r="DF3">
        <f t="shared" si="1"/>
        <v>0</v>
      </c>
      <c r="DG3">
        <f t="shared" si="1"/>
        <v>0</v>
      </c>
      <c r="DH3">
        <f t="shared" si="1"/>
        <v>5</v>
      </c>
      <c r="DI3">
        <f t="shared" si="1"/>
        <v>6</v>
      </c>
      <c r="DJ3">
        <f t="shared" si="1"/>
        <v>0</v>
      </c>
      <c r="DK3">
        <f t="shared" si="1"/>
        <v>7</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2</v>
      </c>
      <c r="AH4">
        <f t="shared" si="2"/>
        <v>2</v>
      </c>
      <c r="AI4">
        <f t="shared" si="2"/>
        <v>2</v>
      </c>
      <c r="AJ4">
        <f t="shared" si="2"/>
        <v>2</v>
      </c>
      <c r="AK4">
        <f t="shared" si="2"/>
        <v>2</v>
      </c>
      <c r="AL4">
        <f t="shared" si="2"/>
        <v>2</v>
      </c>
      <c r="AM4">
        <f t="shared" si="2"/>
        <v>2</v>
      </c>
      <c r="AN4">
        <f t="shared" si="2"/>
        <v>2</v>
      </c>
      <c r="AO4">
        <f t="shared" si="2"/>
        <v>2</v>
      </c>
      <c r="AP4">
        <f t="shared" si="2"/>
        <v>2</v>
      </c>
      <c r="AQ4">
        <f t="shared" si="2"/>
        <v>2</v>
      </c>
      <c r="AR4">
        <f t="shared" si="2"/>
        <v>2</v>
      </c>
      <c r="AS4">
        <f t="shared" si="2"/>
        <v>2</v>
      </c>
      <c r="AT4">
        <f t="shared" si="2"/>
        <v>2</v>
      </c>
      <c r="AU4">
        <f t="shared" si="2"/>
        <v>2</v>
      </c>
      <c r="AV4">
        <f t="shared" si="2"/>
        <v>2</v>
      </c>
      <c r="AW4">
        <f t="shared" si="2"/>
        <v>2</v>
      </c>
      <c r="AX4">
        <f t="shared" si="2"/>
        <v>2</v>
      </c>
      <c r="AY4">
        <f t="shared" si="2"/>
        <v>2</v>
      </c>
      <c r="AZ4">
        <f t="shared" si="2"/>
        <v>2</v>
      </c>
      <c r="BA4">
        <f t="shared" si="2"/>
        <v>2</v>
      </c>
      <c r="BB4">
        <f t="shared" si="2"/>
        <v>2</v>
      </c>
      <c r="BC4">
        <f t="shared" si="2"/>
        <v>2</v>
      </c>
      <c r="BD4">
        <f t="shared" si="2"/>
        <v>2</v>
      </c>
      <c r="BE4">
        <f t="shared" si="2"/>
        <v>2</v>
      </c>
      <c r="BF4">
        <f t="shared" si="2"/>
        <v>2</v>
      </c>
      <c r="BG4">
        <f t="shared" si="2"/>
        <v>2</v>
      </c>
      <c r="BH4">
        <f t="shared" si="2"/>
        <v>2</v>
      </c>
      <c r="BI4">
        <f t="shared" si="2"/>
        <v>2</v>
      </c>
      <c r="BJ4">
        <f t="shared" si="2"/>
        <v>2</v>
      </c>
      <c r="BK4">
        <f t="shared" si="2"/>
        <v>2</v>
      </c>
      <c r="BL4">
        <f t="shared" si="2"/>
        <v>2</v>
      </c>
      <c r="BM4">
        <f t="shared" si="2"/>
        <v>2</v>
      </c>
      <c r="BN4">
        <f t="shared" si="2"/>
        <v>2</v>
      </c>
      <c r="BO4">
        <f t="shared" si="2"/>
        <v>2</v>
      </c>
      <c r="BP4">
        <f t="shared" si="2"/>
        <v>2</v>
      </c>
      <c r="BQ4">
        <f t="shared" si="2"/>
        <v>2</v>
      </c>
      <c r="BR4">
        <f t="shared" si="2"/>
        <v>2</v>
      </c>
      <c r="BS4">
        <f t="shared" si="2"/>
        <v>2</v>
      </c>
      <c r="BT4">
        <f t="shared" si="2"/>
        <v>2</v>
      </c>
      <c r="BU4">
        <f t="shared" si="2"/>
        <v>2</v>
      </c>
      <c r="BV4">
        <f t="shared" si="2"/>
        <v>2</v>
      </c>
      <c r="BW4">
        <f t="shared" si="2"/>
        <v>2</v>
      </c>
      <c r="BX4">
        <f t="shared" si="2"/>
        <v>2</v>
      </c>
      <c r="BY4">
        <f t="shared" si="2"/>
        <v>2</v>
      </c>
      <c r="BZ4">
        <f t="shared" si="2"/>
        <v>2</v>
      </c>
      <c r="CA4">
        <f t="shared" si="2"/>
        <v>2</v>
      </c>
      <c r="CB4">
        <f t="shared" si="2"/>
        <v>3</v>
      </c>
      <c r="CC4">
        <f t="shared" si="2"/>
        <v>3</v>
      </c>
      <c r="CD4">
        <f t="shared" si="2"/>
        <v>3</v>
      </c>
      <c r="CE4">
        <f t="shared" si="2"/>
        <v>3</v>
      </c>
      <c r="CF4">
        <f t="shared" si="2"/>
        <v>3</v>
      </c>
      <c r="CG4">
        <f t="shared" si="2"/>
        <v>3</v>
      </c>
      <c r="CH4">
        <f t="shared" si="2"/>
        <v>3</v>
      </c>
      <c r="CI4">
        <f t="shared" si="2"/>
        <v>3</v>
      </c>
      <c r="CJ4">
        <f t="shared" si="2"/>
        <v>3</v>
      </c>
      <c r="CK4">
        <f t="shared" si="2"/>
        <v>3</v>
      </c>
      <c r="CL4">
        <f t="shared" si="2"/>
        <v>4</v>
      </c>
      <c r="CM4">
        <f t="shared" si="2"/>
        <v>4</v>
      </c>
      <c r="CN4">
        <f t="shared" si="2"/>
        <v>4</v>
      </c>
      <c r="CO4">
        <f t="shared" ref="CO4:DM4" si="3">IF(CO5=1,CN4+1,CN4)</f>
        <v>4</v>
      </c>
      <c r="CP4">
        <f t="shared" si="3"/>
        <v>4</v>
      </c>
      <c r="CQ4">
        <f t="shared" si="3"/>
        <v>4</v>
      </c>
      <c r="CR4">
        <f t="shared" si="3"/>
        <v>4</v>
      </c>
      <c r="CS4">
        <f t="shared" si="3"/>
        <v>4</v>
      </c>
      <c r="CT4">
        <f t="shared" si="3"/>
        <v>4</v>
      </c>
      <c r="CU4">
        <f t="shared" si="3"/>
        <v>4</v>
      </c>
      <c r="CV4">
        <f t="shared" si="3"/>
        <v>4</v>
      </c>
      <c r="CW4">
        <f t="shared" si="3"/>
        <v>4</v>
      </c>
      <c r="CX4">
        <f t="shared" si="3"/>
        <v>4</v>
      </c>
      <c r="CY4">
        <f t="shared" si="3"/>
        <v>4</v>
      </c>
      <c r="CZ4">
        <f t="shared" si="3"/>
        <v>4</v>
      </c>
      <c r="DA4">
        <f t="shared" si="3"/>
        <v>4</v>
      </c>
      <c r="DB4">
        <f t="shared" si="3"/>
        <v>4</v>
      </c>
      <c r="DC4">
        <f t="shared" si="3"/>
        <v>4</v>
      </c>
      <c r="DD4">
        <f t="shared" si="3"/>
        <v>4</v>
      </c>
      <c r="DE4">
        <f t="shared" si="3"/>
        <v>4</v>
      </c>
      <c r="DF4">
        <f t="shared" si="3"/>
        <v>4</v>
      </c>
      <c r="DG4">
        <f t="shared" si="3"/>
        <v>4</v>
      </c>
      <c r="DH4">
        <f t="shared" si="3"/>
        <v>5</v>
      </c>
      <c r="DI4">
        <f t="shared" si="3"/>
        <v>6</v>
      </c>
      <c r="DJ4">
        <f t="shared" si="3"/>
        <v>6</v>
      </c>
      <c r="DK4">
        <f t="shared" si="3"/>
        <v>7</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0</v>
      </c>
      <c r="CE5">
        <f t="shared" si="4"/>
        <v>0</v>
      </c>
      <c r="CF5">
        <f t="shared" si="4"/>
        <v>0</v>
      </c>
      <c r="CG5">
        <f t="shared" si="4"/>
        <v>0</v>
      </c>
      <c r="CH5">
        <f t="shared" si="4"/>
        <v>0</v>
      </c>
      <c r="CI5">
        <f t="shared" si="4"/>
        <v>0</v>
      </c>
      <c r="CJ5">
        <f t="shared" si="4"/>
        <v>0</v>
      </c>
      <c r="CK5">
        <f t="shared" si="4"/>
        <v>0</v>
      </c>
      <c r="CL5">
        <f t="shared" si="4"/>
        <v>1</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0</v>
      </c>
      <c r="DC5">
        <f t="shared" si="5"/>
        <v>0</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0</v>
      </c>
      <c r="AU7" s="217">
        <f>IF(A11=0," ",'tosafot '!CB2)</f>
        <v>0</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v>
      </c>
      <c r="CF7" s="134">
        <f>+'tos kibutzi'!M1</f>
        <v>0</v>
      </c>
      <c r="CG7" s="134"/>
      <c r="CH7" s="134">
        <f>+'tosafot '!DJ2</f>
        <v>0</v>
      </c>
      <c r="CI7" s="243"/>
      <c r="CJ7" s="243"/>
      <c r="CK7" s="134"/>
      <c r="CL7" s="243"/>
      <c r="CM7" s="243"/>
      <c r="CN7" s="243">
        <f>+'tosafot '!AM2</f>
        <v>0</v>
      </c>
      <c r="CS7" s="6">
        <f>+'tosafot '!CI2</f>
        <v>0</v>
      </c>
      <c r="CT7" s="6">
        <f>+'tosafot '!CJ2</f>
        <v>0</v>
      </c>
      <c r="CU7" s="6"/>
      <c r="DB7" s="244">
        <f>+'heskem 2016'!B5</f>
        <v>0</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804.25411383551102</v>
      </c>
      <c r="CM8" s="337">
        <f>+'tosafot '!DG2</f>
        <v>0</v>
      </c>
      <c r="CN8" s="243"/>
      <c r="CO8" s="131">
        <f>+'tosafot '!DR2</f>
        <v>0</v>
      </c>
      <c r="CP8" s="131">
        <f>+'tosafot '!CH2</f>
        <v>0</v>
      </c>
      <c r="CQ8" s="131">
        <f>+'tosafot '!CF2</f>
        <v>0</v>
      </c>
      <c r="CR8" s="131">
        <f>+'tosafot '!CG2</f>
        <v>0</v>
      </c>
      <c r="CS8" s="131"/>
      <c r="CT8" s="131"/>
      <c r="CU8" s="131">
        <f>+'tosafot '!DV2</f>
        <v>0</v>
      </c>
      <c r="CV8" s="131">
        <f>+'tosafot '!CL2</f>
        <v>0</v>
      </c>
      <c r="CW8" s="131">
        <f>+'tosafot '!CM2</f>
        <v>0</v>
      </c>
      <c r="CX8" s="131">
        <f>+'tosafot '!DI2</f>
        <v>0</v>
      </c>
      <c r="CY8" s="131">
        <f>+'tosafot '!BU2</f>
        <v>0</v>
      </c>
      <c r="CZ8" s="131">
        <f>+'tosafot '!CV2</f>
        <v>0</v>
      </c>
      <c r="DA8" s="131">
        <f>+'tosafot '!DW2</f>
        <v>0</v>
      </c>
      <c r="DB8" s="244"/>
      <c r="DD8" s="18">
        <f>+'tosafot '!DZ2</f>
        <v>0</v>
      </c>
      <c r="DE8" s="245"/>
      <c r="DF8" s="131">
        <f>+'tosafot '!EB3</f>
        <v>0</v>
      </c>
      <c r="DI8" s="131">
        <f>+sminimum!M6</f>
        <v>467.24588616448909</v>
      </c>
      <c r="DJ8" s="131">
        <f>+'Netunei Gimlai'!B18</f>
        <v>0</v>
      </c>
    </row>
    <row r="9" spans="1:121" ht="15" thickBot="1">
      <c r="B9" s="18">
        <f>+'Netunei Gimlai'!B6</f>
        <v>1</v>
      </c>
      <c r="C9" s="18">
        <f>VLOOKUP(B9,'tosafot '!$A$7:$B$234,2,0)</f>
        <v>1.2008000000000001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v>
      </c>
      <c r="C11" s="18">
        <f>IF(A11=0," ",VLOOKUP(B11,'tosafot '!$A$7:$B$234,2,0))</f>
        <v>1.2008000000000001</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36.75</v>
      </c>
      <c r="R11" s="18">
        <f>IF(A11=0," ",VLOOKUP(Q11,vetek!$A$3:$B$163,2,1))</f>
        <v>148</v>
      </c>
      <c r="S11" s="130">
        <f>IF(A11=0," ",vetek!T10)</f>
        <v>1.4414995494685181</v>
      </c>
      <c r="T11" s="135">
        <f>IF(A11=0," ",+'heskem 2016'!B5)</f>
        <v>0</v>
      </c>
      <c r="U11" s="127">
        <f>IF(A11=0," ",+'heskem 2016'!B6)</f>
        <v>0</v>
      </c>
      <c r="V11" s="216">
        <v>0</v>
      </c>
      <c r="W11" s="218">
        <v>0</v>
      </c>
      <c r="X11" s="219">
        <v>0</v>
      </c>
      <c r="Y11" s="131">
        <f>IF(A11=0," ",VLOOKUP(L11,DARGA!C2:D111,2,0))</f>
        <v>2438.5</v>
      </c>
      <c r="Z11" s="131">
        <f>IF(A11=0," ",+Y11*(S11-1))</f>
        <v>1076.5966513789815</v>
      </c>
      <c r="AA11" s="242">
        <f>+Y11+Z11</f>
        <v>3515.0966513789817</v>
      </c>
      <c r="AB11" s="131">
        <f>IF(A11=0," ",'tosafot '!L2)</f>
        <v>0</v>
      </c>
      <c r="AC11" s="136">
        <f>IF(A11=0," ",(+AA11+AF11+AL11+AP11+AW11)*AC7)</f>
        <v>140.60386605515927</v>
      </c>
      <c r="AD11" s="136">
        <f>IF(A11=0," ",'tosafot '!O2)</f>
        <v>0</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0</v>
      </c>
      <c r="AP11" s="191">
        <f>IF(A11=0," ",'tosafot '!Z2)</f>
        <v>0</v>
      </c>
      <c r="AQ11" s="191">
        <f>(AA11+AD11+AE11+AU11+CB11+CD11+CF11+CL11+AO11+AV11+CM11)*AQ7</f>
        <v>0</v>
      </c>
      <c r="AR11" s="131">
        <f>IF(A11=0," ",'tosafot '!BY2)</f>
        <v>0</v>
      </c>
      <c r="AS11" s="131">
        <f>IF(A11=0," ",'tosafot '!CA2)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160.55836672570746</v>
      </c>
      <c r="CC11" s="191">
        <f>+AA11*CC7</f>
        <v>0</v>
      </c>
      <c r="CD11" s="136">
        <f>IF(A11=0," ",+(AA11+AB11+AC11+AD11+AE11+AF11+AG11+AH11+AI11+AJ11+AL11+AM11+AN11+AO11+AP11+AU11+AV11+AW11+AX11+AY11+BA11+BC11+BB11+BD11+BE11+BF11+BH11+BJ11+BK11+BL11+BM11+BO11+BQ11+BY11+BN11+BP11+BR11+BS11+BT11+BU11+BV11+BW11+BX11+BZ11+CA11+CB11+CC11+CE11+CG11+CI11+CK11+CL11+CM11+CY11)*CD7)</f>
        <v>0</v>
      </c>
      <c r="CE11" s="191">
        <f>IF(A11=0," ",'tosafot '!BT2)</f>
        <v>0</v>
      </c>
      <c r="CF11" s="136">
        <f>IF(A11=0," ",+(AA11+AB11+AC11+AD11+AE11+AF11+AG11+AH11+AI11+AJ11+AL11+AM11+AN11+AO11+AP11+AU11+AV11+AW11+AX11+AY11+BA11+BB11+BC11+BD11+BE11+BF11+BJ11+BK11++BL11+BM11+BQ11+BY11+BN11+BP11+BR11+BS11+BT11+BU11+BV11+BW11+BX11+BZ11+CA11+CB11+CC11+CD11+CE11+CI11+CK11+CL11+CM11+CY11)*CF7)</f>
        <v>0</v>
      </c>
      <c r="CG11" s="191">
        <f>IF(A11=0," ",CG8)</f>
        <v>0</v>
      </c>
      <c r="CH11" s="136">
        <f>+AA11*CH7</f>
        <v>0</v>
      </c>
      <c r="CI11" s="191">
        <f>IF(A11=0," ",CI8)</f>
        <v>0</v>
      </c>
      <c r="CJ11" s="191">
        <f>IF(A11=0," ",CJ8)</f>
        <v>0</v>
      </c>
      <c r="CK11" s="131">
        <f>IF(A11=0," ",CK8)</f>
        <v>0</v>
      </c>
      <c r="CL11" s="136">
        <f>IF(A11=0," ",+CL8)</f>
        <v>804.25411383551102</v>
      </c>
      <c r="CM11" s="131">
        <f>IF(A11=0," ",'tosafot '!DG2)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0</v>
      </c>
      <c r="DC11" s="131">
        <f t="shared" ref="DC11:DC74" si="13">IF(A11=0," ",+U11)</f>
        <v>0</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467.24588616448909</v>
      </c>
      <c r="DJ11" s="136">
        <f>IF(A11=0," ",+DJ8)</f>
        <v>0</v>
      </c>
      <c r="DK11" s="137">
        <f>IF(A11=0," ",SUM(AA11:DJ11))</f>
        <v>5087.7598841598492</v>
      </c>
      <c r="DL11" s="225" t="e">
        <f>IF(A11=0," ",+'Netunei Gimlai'!#REF!)</f>
        <v>#REF!</v>
      </c>
      <c r="DM11" s="225" t="e">
        <f>IF(A11=0," ",'Netunei Gimlai'!#REF!)</f>
        <v>#REF!</v>
      </c>
      <c r="DN11" s="226" t="e">
        <f t="shared" ref="DN11:DN74" si="14">IF(A11=0," ",+DK11*DL11*DM11)</f>
        <v>#REF!</v>
      </c>
      <c r="DO11" s="226">
        <f>IF(A11=0," ",+DK11*3.82%)</f>
        <v>194.35242757490622</v>
      </c>
      <c r="DP11" s="226" t="e">
        <f>IF(A11=0," ",+DO11*DL11*DM11)</f>
        <v>#REF!</v>
      </c>
      <c r="DQ11" s="226" t="e">
        <f>IF(A11=0," ",+DN11+DP11)</f>
        <v>#REF!</v>
      </c>
    </row>
    <row r="12" spans="1:121" s="18" customFormat="1">
      <c r="A12" s="132">
        <f t="shared" ref="A12:A75" si="15">IF(A11=0,0,IF(B11+1&gt;$D$9,0,A11+1))</f>
        <v>2</v>
      </c>
      <c r="B12" s="18">
        <f>IF(A12=0," ",B11+1)</f>
        <v>2</v>
      </c>
      <c r="C12" s="18">
        <f>IF(A12=0," ",VLOOKUP(B12,'tosafot '!$A$7:$B$234,2,0))</f>
        <v>2.2008000000000001</v>
      </c>
      <c r="D12" s="220">
        <f>IF(A12=0," ",+D11)</f>
        <v>228</v>
      </c>
      <c r="E12" s="130">
        <f>IF(A12=0," ",+E11)</f>
        <v>12.2026</v>
      </c>
      <c r="F12" s="126">
        <f>IF(A12=0," ",+F11)</f>
        <v>22</v>
      </c>
      <c r="G12" s="18" t="str">
        <f>IF(A12=0," ",+G11)</f>
        <v>התחבורה</v>
      </c>
      <c r="H12" s="189">
        <f>IF(A12=0," ",+H11)</f>
        <v>122</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36.75</v>
      </c>
      <c r="R12" s="128">
        <f>IF(A12=0," ",+R11)</f>
        <v>148</v>
      </c>
      <c r="S12" s="130">
        <f>IF(A12=0," ",+S11)</f>
        <v>1.4414995494685181</v>
      </c>
      <c r="T12" s="135">
        <f t="shared" ref="T12:T75" si="16">IF(A12=0," ",+T11)</f>
        <v>0</v>
      </c>
      <c r="U12" s="127">
        <f t="shared" ref="U12:U75" si="17">IF(A12=0," ",+U11)</f>
        <v>0</v>
      </c>
      <c r="V12" s="217">
        <v>0</v>
      </c>
      <c r="W12" s="191">
        <v>0</v>
      </c>
      <c r="X12" s="133">
        <v>0</v>
      </c>
      <c r="Y12" s="131">
        <f t="shared" ref="Y12:Y75" si="18">IF(A12=0," ",+Y11)</f>
        <v>2438.5</v>
      </c>
      <c r="Z12" s="131">
        <f t="shared" ref="Z12:Z75" si="19">IF(A12=0," ",+Z11)</f>
        <v>1076.5966513789815</v>
      </c>
      <c r="AA12" s="242">
        <f t="shared" ref="AA12:AA75" si="20">IF(A12=0," ",AA11)</f>
        <v>3515.0966513789817</v>
      </c>
      <c r="AB12" s="131">
        <f t="shared" ref="AB12:AB75" si="21">IF(A12=0," ",AB11)</f>
        <v>0</v>
      </c>
      <c r="AC12" s="131">
        <f t="shared" ref="AC12:AC75" si="22">IF(A12=0," ",AC11)</f>
        <v>140.60386605515927</v>
      </c>
      <c r="AD12" s="131">
        <f t="shared" ref="AD12:AD75" si="23">IF(A12=0," ",AD11)</f>
        <v>0</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160.55836672570746</v>
      </c>
      <c r="CC12" s="131">
        <f t="shared" ref="CC12:CC75" si="41">IF(A12=0," ",CC11)</f>
        <v>0</v>
      </c>
      <c r="CD12" s="136">
        <f t="shared" ref="CD12:CD75" si="42">IF(A12=0," ",CD11)</f>
        <v>0</v>
      </c>
      <c r="CE12" s="131"/>
      <c r="CF12" s="136">
        <f t="shared" ref="CF12:CF75" si="43">IF(A12=0," ",+CF11)</f>
        <v>0</v>
      </c>
      <c r="CG12" s="136"/>
      <c r="CH12" s="136"/>
      <c r="CI12" s="131">
        <f t="shared" ref="CI12:CI75" si="44">IF(A12=0," ",CI11)</f>
        <v>0</v>
      </c>
      <c r="CJ12" s="131"/>
      <c r="CK12" s="136">
        <f t="shared" ref="CK12:CK75" si="45">IF(A12=0," ",+CK11)</f>
        <v>0</v>
      </c>
      <c r="CL12" s="136">
        <f t="shared" ref="CL12:CL75" si="46">IF(A12=0," ",+CL11)</f>
        <v>804.25411383551102</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0</v>
      </c>
      <c r="DC12" s="131">
        <f t="shared" si="13"/>
        <v>0</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467.24588616448909</v>
      </c>
      <c r="DJ12" s="131">
        <f>IF(A12=0," ",DJ11)</f>
        <v>0</v>
      </c>
      <c r="DK12" s="137">
        <f>IF(A12=0," ",SUM(AA12:DJ12))</f>
        <v>5087.7598841598492</v>
      </c>
      <c r="DL12" s="227" t="e">
        <f t="shared" ref="DL12:DL75" si="59">IF(A12=0," ",DL11)</f>
        <v>#REF!</v>
      </c>
      <c r="DM12" s="227" t="e">
        <f t="shared" ref="DM12:DM75" si="60">IF(A12=0," ",DM11)</f>
        <v>#REF!</v>
      </c>
      <c r="DN12" s="228" t="e">
        <f t="shared" si="14"/>
        <v>#REF!</v>
      </c>
      <c r="DO12" s="228">
        <f t="shared" ref="DO12:DO75" si="61">IF(A12=0," ",DO11)</f>
        <v>194.35242757490622</v>
      </c>
      <c r="DP12" s="228" t="e">
        <f t="shared" ref="DP12:DP75" si="62">IF(A11=0," ",DP11)</f>
        <v>#REF!</v>
      </c>
      <c r="DQ12" s="228" t="e">
        <f t="shared" ref="DQ12:DQ75" si="63">IF(A11=0," ",DQ11)</f>
        <v>#REF!</v>
      </c>
    </row>
    <row r="13" spans="1:121" s="18" customFormat="1">
      <c r="A13" s="132">
        <f t="shared" si="15"/>
        <v>3</v>
      </c>
      <c r="B13" s="18">
        <f t="shared" ref="B13:B76" si="64">IF(A13=0," ",B12+1)</f>
        <v>3</v>
      </c>
      <c r="C13" s="18">
        <f>IF(A13=0," ",VLOOKUP(B13,'tosafot '!$A$7:$B$234,2,0))</f>
        <v>3.2008000000000001</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36.75</v>
      </c>
      <c r="R13" s="128">
        <f t="shared" ref="R13:R76" si="78">IF(A13=0," ",+R12)</f>
        <v>148</v>
      </c>
      <c r="S13" s="130">
        <f t="shared" ref="S13:S76" si="79">IF(A13=0," ",+S12)</f>
        <v>1.4414995494685181</v>
      </c>
      <c r="T13" s="135">
        <f t="shared" si="16"/>
        <v>0</v>
      </c>
      <c r="U13" s="127">
        <f t="shared" si="17"/>
        <v>0</v>
      </c>
      <c r="V13" s="217">
        <v>0</v>
      </c>
      <c r="W13" s="191">
        <v>0</v>
      </c>
      <c r="X13" s="133">
        <v>0</v>
      </c>
      <c r="Y13" s="131">
        <f t="shared" si="18"/>
        <v>2438.5</v>
      </c>
      <c r="Z13" s="131">
        <f t="shared" si="19"/>
        <v>1076.5966513789815</v>
      </c>
      <c r="AA13" s="242">
        <f t="shared" si="20"/>
        <v>3515.0966513789817</v>
      </c>
      <c r="AB13" s="131">
        <f t="shared" si="21"/>
        <v>0</v>
      </c>
      <c r="AC13" s="131">
        <f t="shared" si="22"/>
        <v>140.60386605515927</v>
      </c>
      <c r="AD13" s="131">
        <f t="shared" si="23"/>
        <v>0</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160.55836672570746</v>
      </c>
      <c r="CC13" s="131">
        <f t="shared" si="41"/>
        <v>0</v>
      </c>
      <c r="CD13" s="136">
        <f t="shared" si="42"/>
        <v>0</v>
      </c>
      <c r="CE13" s="131"/>
      <c r="CF13" s="136">
        <f t="shared" si="43"/>
        <v>0</v>
      </c>
      <c r="CG13" s="136"/>
      <c r="CH13" s="136"/>
      <c r="CI13" s="131">
        <f t="shared" si="44"/>
        <v>0</v>
      </c>
      <c r="CJ13" s="131"/>
      <c r="CK13" s="136">
        <f t="shared" si="45"/>
        <v>0</v>
      </c>
      <c r="CL13" s="136">
        <f t="shared" si="46"/>
        <v>804.25411383551102</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0</v>
      </c>
      <c r="DC13" s="131">
        <f t="shared" si="13"/>
        <v>0</v>
      </c>
      <c r="DD13" s="131">
        <f t="shared" si="55"/>
        <v>0</v>
      </c>
      <c r="DE13" s="131">
        <f t="shared" si="56"/>
        <v>0</v>
      </c>
      <c r="DF13" s="131">
        <f t="shared" si="57"/>
        <v>0</v>
      </c>
      <c r="DG13" s="131">
        <f t="shared" si="58"/>
        <v>0</v>
      </c>
      <c r="DH13" s="131">
        <f>IF(A13=0," ",DH12)</f>
        <v>1E-3</v>
      </c>
      <c r="DI13" s="131">
        <f>IF(A13=0," ",DI12)</f>
        <v>467.24588616448909</v>
      </c>
      <c r="DJ13" s="131">
        <f>IF(A13=0," ",DJ12)</f>
        <v>0</v>
      </c>
      <c r="DK13" s="137">
        <f t="shared" ref="DK13:DK76" si="99">IF(A13=0," ",SUM(AA13:DG13))</f>
        <v>4620.5129979953599</v>
      </c>
      <c r="DL13" s="227" t="e">
        <f t="shared" si="59"/>
        <v>#REF!</v>
      </c>
      <c r="DM13" s="227" t="e">
        <f t="shared" si="60"/>
        <v>#REF!</v>
      </c>
      <c r="DN13" s="228" t="e">
        <f t="shared" si="14"/>
        <v>#REF!</v>
      </c>
      <c r="DO13" s="228">
        <f t="shared" si="61"/>
        <v>194.35242757490622</v>
      </c>
      <c r="DP13" s="228" t="e">
        <f t="shared" si="62"/>
        <v>#REF!</v>
      </c>
      <c r="DQ13" s="228" t="e">
        <f t="shared" si="63"/>
        <v>#REF!</v>
      </c>
    </row>
    <row r="14" spans="1:121" s="18" customFormat="1">
      <c r="A14" s="132">
        <f t="shared" si="15"/>
        <v>4</v>
      </c>
      <c r="B14" s="18">
        <f t="shared" si="64"/>
        <v>4</v>
      </c>
      <c r="C14" s="18">
        <f>IF(A14=0," ",VLOOKUP(B14,'tosafot '!$A$7:$B$234,2,0))</f>
        <v>4.2008000000000001</v>
      </c>
      <c r="D14" s="220">
        <f t="shared" si="65"/>
        <v>228</v>
      </c>
      <c r="E14" s="130">
        <f t="shared" si="66"/>
        <v>12.2026</v>
      </c>
      <c r="F14" s="126">
        <f t="shared" si="67"/>
        <v>22</v>
      </c>
      <c r="G14" s="18" t="str">
        <f t="shared" si="68"/>
        <v>התחבורה</v>
      </c>
      <c r="H14" s="189">
        <f t="shared" si="69"/>
        <v>122</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36.75</v>
      </c>
      <c r="R14" s="128">
        <f t="shared" si="78"/>
        <v>148</v>
      </c>
      <c r="S14" s="130">
        <f t="shared" si="79"/>
        <v>1.4414995494685181</v>
      </c>
      <c r="T14" s="135">
        <f t="shared" si="16"/>
        <v>0</v>
      </c>
      <c r="U14" s="127">
        <f t="shared" si="17"/>
        <v>0</v>
      </c>
      <c r="V14" s="217">
        <v>0</v>
      </c>
      <c r="W14" s="191">
        <v>0</v>
      </c>
      <c r="X14" s="133">
        <v>0</v>
      </c>
      <c r="Y14" s="131">
        <f t="shared" si="18"/>
        <v>2438.5</v>
      </c>
      <c r="Z14" s="131">
        <f t="shared" si="19"/>
        <v>1076.5966513789815</v>
      </c>
      <c r="AA14" s="242">
        <f t="shared" si="20"/>
        <v>3515.0966513789817</v>
      </c>
      <c r="AB14" s="131">
        <f t="shared" si="21"/>
        <v>0</v>
      </c>
      <c r="AC14" s="131">
        <f t="shared" si="22"/>
        <v>140.60386605515927</v>
      </c>
      <c r="AD14" s="131">
        <f t="shared" si="23"/>
        <v>0</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160.55836672570746</v>
      </c>
      <c r="CC14" s="131">
        <f t="shared" si="41"/>
        <v>0</v>
      </c>
      <c r="CD14" s="136">
        <f t="shared" si="42"/>
        <v>0</v>
      </c>
      <c r="CE14" s="131"/>
      <c r="CF14" s="136">
        <f t="shared" si="43"/>
        <v>0</v>
      </c>
      <c r="CG14" s="136"/>
      <c r="CH14" s="136">
        <f t="shared" ref="CH14:CH77" si="101">IF(A14=0," ",+CH13)</f>
        <v>0</v>
      </c>
      <c r="CI14" s="131">
        <f t="shared" si="44"/>
        <v>0</v>
      </c>
      <c r="CJ14" s="131"/>
      <c r="CK14" s="136">
        <f t="shared" si="45"/>
        <v>0</v>
      </c>
      <c r="CL14" s="136">
        <f t="shared" si="46"/>
        <v>804.25411383551102</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0</v>
      </c>
      <c r="DC14" s="131">
        <f t="shared" si="13"/>
        <v>0</v>
      </c>
      <c r="DD14" s="131">
        <f t="shared" si="55"/>
        <v>0</v>
      </c>
      <c r="DE14" s="131">
        <f t="shared" si="56"/>
        <v>0</v>
      </c>
      <c r="DF14" s="131">
        <f t="shared" si="57"/>
        <v>0</v>
      </c>
      <c r="DG14" s="131">
        <f t="shared" si="58"/>
        <v>0</v>
      </c>
      <c r="DH14" s="131"/>
      <c r="DI14" s="131"/>
      <c r="DJ14" s="131"/>
      <c r="DK14" s="137">
        <f t="shared" si="99"/>
        <v>4620.5129979953599</v>
      </c>
      <c r="DL14" s="227" t="e">
        <f t="shared" si="59"/>
        <v>#REF!</v>
      </c>
      <c r="DM14" s="227" t="e">
        <f t="shared" si="60"/>
        <v>#REF!</v>
      </c>
      <c r="DN14" s="228" t="e">
        <f t="shared" si="14"/>
        <v>#REF!</v>
      </c>
      <c r="DO14" s="228">
        <f t="shared" si="61"/>
        <v>194.35242757490622</v>
      </c>
      <c r="DP14" s="228" t="e">
        <f t="shared" si="62"/>
        <v>#REF!</v>
      </c>
      <c r="DQ14" s="228" t="e">
        <f t="shared" si="63"/>
        <v>#REF!</v>
      </c>
    </row>
    <row r="15" spans="1:121" s="18" customFormat="1">
      <c r="A15" s="132">
        <f t="shared" si="15"/>
        <v>5</v>
      </c>
      <c r="B15" s="18">
        <f t="shared" si="64"/>
        <v>5</v>
      </c>
      <c r="C15" s="18">
        <f>IF(A15=0," ",VLOOKUP(B15,'tosafot '!$A$7:$B$234,2,0))</f>
        <v>5.2008000000000001</v>
      </c>
      <c r="D15" s="220">
        <f t="shared" si="65"/>
        <v>228</v>
      </c>
      <c r="E15" s="130">
        <f t="shared" si="66"/>
        <v>12.2026</v>
      </c>
      <c r="F15" s="126">
        <f t="shared" si="67"/>
        <v>22</v>
      </c>
      <c r="G15" s="18" t="str">
        <f t="shared" si="68"/>
        <v>התחבורה</v>
      </c>
      <c r="H15" s="189">
        <f t="shared" si="69"/>
        <v>122</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36.75</v>
      </c>
      <c r="R15" s="128">
        <f t="shared" si="78"/>
        <v>148</v>
      </c>
      <c r="S15" s="130">
        <f t="shared" si="79"/>
        <v>1.4414995494685181</v>
      </c>
      <c r="T15" s="135">
        <f t="shared" si="16"/>
        <v>0</v>
      </c>
      <c r="U15" s="127">
        <f t="shared" si="17"/>
        <v>0</v>
      </c>
      <c r="V15" s="217">
        <v>0</v>
      </c>
      <c r="W15" s="191">
        <v>0</v>
      </c>
      <c r="X15" s="133">
        <v>0</v>
      </c>
      <c r="Y15" s="131">
        <f t="shared" si="18"/>
        <v>2438.5</v>
      </c>
      <c r="Z15" s="131">
        <f t="shared" si="19"/>
        <v>1076.5966513789815</v>
      </c>
      <c r="AA15" s="242">
        <f t="shared" si="20"/>
        <v>3515.0966513789817</v>
      </c>
      <c r="AB15" s="131">
        <f t="shared" si="21"/>
        <v>0</v>
      </c>
      <c r="AC15" s="131">
        <f t="shared" si="22"/>
        <v>140.60386605515927</v>
      </c>
      <c r="AD15" s="131">
        <f t="shared" si="23"/>
        <v>0</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160.55836672570746</v>
      </c>
      <c r="CC15" s="131">
        <f t="shared" si="41"/>
        <v>0</v>
      </c>
      <c r="CD15" s="136">
        <f t="shared" si="42"/>
        <v>0</v>
      </c>
      <c r="CE15" s="131"/>
      <c r="CF15" s="136">
        <f t="shared" si="43"/>
        <v>0</v>
      </c>
      <c r="CG15" s="136"/>
      <c r="CH15" s="136">
        <f t="shared" si="101"/>
        <v>0</v>
      </c>
      <c r="CI15" s="131">
        <f t="shared" si="44"/>
        <v>0</v>
      </c>
      <c r="CJ15" s="131"/>
      <c r="CK15" s="136">
        <f t="shared" si="45"/>
        <v>0</v>
      </c>
      <c r="CL15" s="136">
        <f t="shared" si="46"/>
        <v>804.25411383551102</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0</v>
      </c>
      <c r="DC15" s="131">
        <f t="shared" si="13"/>
        <v>0</v>
      </c>
      <c r="DD15" s="131">
        <f t="shared" si="55"/>
        <v>0</v>
      </c>
      <c r="DE15" s="131">
        <f t="shared" si="56"/>
        <v>0</v>
      </c>
      <c r="DF15" s="131">
        <f t="shared" si="57"/>
        <v>0</v>
      </c>
      <c r="DG15" s="131">
        <f t="shared" si="58"/>
        <v>0</v>
      </c>
      <c r="DH15" s="131"/>
      <c r="DI15" s="131"/>
      <c r="DJ15" s="131"/>
      <c r="DK15" s="137">
        <f t="shared" si="99"/>
        <v>4620.5129979953599</v>
      </c>
      <c r="DL15" s="227" t="e">
        <f t="shared" si="59"/>
        <v>#REF!</v>
      </c>
      <c r="DM15" s="227" t="e">
        <f t="shared" si="60"/>
        <v>#REF!</v>
      </c>
      <c r="DN15" s="228" t="e">
        <f t="shared" si="14"/>
        <v>#REF!</v>
      </c>
      <c r="DO15" s="228">
        <f t="shared" si="61"/>
        <v>194.35242757490622</v>
      </c>
      <c r="DP15" s="228" t="e">
        <f t="shared" si="62"/>
        <v>#REF!</v>
      </c>
      <c r="DQ15" s="228" t="e">
        <f t="shared" si="63"/>
        <v>#REF!</v>
      </c>
    </row>
    <row r="16" spans="1:121" s="18" customFormat="1">
      <c r="A16" s="132">
        <f t="shared" si="15"/>
        <v>6</v>
      </c>
      <c r="B16" s="18">
        <f t="shared" si="64"/>
        <v>6</v>
      </c>
      <c r="C16" s="18">
        <f>IF(A16=0," ",VLOOKUP(B16,'tosafot '!$A$7:$B$234,2,0))</f>
        <v>6.2008000000000001</v>
      </c>
      <c r="D16" s="220">
        <f t="shared" si="65"/>
        <v>228</v>
      </c>
      <c r="E16" s="130">
        <f t="shared" si="66"/>
        <v>12.2026</v>
      </c>
      <c r="F16" s="126">
        <f t="shared" si="67"/>
        <v>22</v>
      </c>
      <c r="G16" s="18" t="str">
        <f t="shared" si="68"/>
        <v>התחבורה</v>
      </c>
      <c r="H16" s="189">
        <f t="shared" si="69"/>
        <v>122</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36.75</v>
      </c>
      <c r="R16" s="128">
        <f t="shared" si="78"/>
        <v>148</v>
      </c>
      <c r="S16" s="130">
        <f t="shared" si="79"/>
        <v>1.4414995494685181</v>
      </c>
      <c r="T16" s="135">
        <f t="shared" si="16"/>
        <v>0</v>
      </c>
      <c r="U16" s="127">
        <f t="shared" si="17"/>
        <v>0</v>
      </c>
      <c r="V16" s="217">
        <v>0</v>
      </c>
      <c r="W16" s="191">
        <v>0</v>
      </c>
      <c r="X16" s="133">
        <v>0</v>
      </c>
      <c r="Y16" s="131">
        <f t="shared" si="18"/>
        <v>2438.5</v>
      </c>
      <c r="Z16" s="131">
        <f t="shared" si="19"/>
        <v>1076.5966513789815</v>
      </c>
      <c r="AA16" s="242">
        <f t="shared" si="20"/>
        <v>3515.0966513789817</v>
      </c>
      <c r="AB16" s="131">
        <f t="shared" si="21"/>
        <v>0</v>
      </c>
      <c r="AC16" s="131">
        <f t="shared" si="22"/>
        <v>140.60386605515927</v>
      </c>
      <c r="AD16" s="131">
        <f t="shared" si="23"/>
        <v>0</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160.55836672570746</v>
      </c>
      <c r="CC16" s="131">
        <f t="shared" si="41"/>
        <v>0</v>
      </c>
      <c r="CD16" s="136">
        <f t="shared" si="42"/>
        <v>0</v>
      </c>
      <c r="CE16" s="131"/>
      <c r="CF16" s="136">
        <f t="shared" si="43"/>
        <v>0</v>
      </c>
      <c r="CG16" s="136"/>
      <c r="CH16" s="136">
        <f t="shared" si="101"/>
        <v>0</v>
      </c>
      <c r="CI16" s="131">
        <f t="shared" si="44"/>
        <v>0</v>
      </c>
      <c r="CJ16" s="131"/>
      <c r="CK16" s="136">
        <f t="shared" si="45"/>
        <v>0</v>
      </c>
      <c r="CL16" s="136">
        <f t="shared" si="46"/>
        <v>804.25411383551102</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0</v>
      </c>
      <c r="DC16" s="131">
        <f t="shared" si="13"/>
        <v>0</v>
      </c>
      <c r="DD16" s="131">
        <f t="shared" si="55"/>
        <v>0</v>
      </c>
      <c r="DE16" s="131">
        <f t="shared" si="56"/>
        <v>0</v>
      </c>
      <c r="DF16" s="131">
        <f t="shared" si="57"/>
        <v>0</v>
      </c>
      <c r="DG16" s="131">
        <f t="shared" si="58"/>
        <v>0</v>
      </c>
      <c r="DH16" s="131"/>
      <c r="DI16" s="131"/>
      <c r="DJ16" s="131"/>
      <c r="DK16" s="137">
        <f t="shared" si="99"/>
        <v>4620.5129979953599</v>
      </c>
      <c r="DL16" s="227" t="e">
        <f t="shared" si="59"/>
        <v>#REF!</v>
      </c>
      <c r="DM16" s="227" t="e">
        <f t="shared" si="60"/>
        <v>#REF!</v>
      </c>
      <c r="DN16" s="228" t="e">
        <f t="shared" si="14"/>
        <v>#REF!</v>
      </c>
      <c r="DO16" s="228">
        <f t="shared" si="61"/>
        <v>194.35242757490622</v>
      </c>
      <c r="DP16" s="228" t="e">
        <f t="shared" si="62"/>
        <v>#REF!</v>
      </c>
      <c r="DQ16" s="228" t="e">
        <f t="shared" si="63"/>
        <v>#REF!</v>
      </c>
    </row>
    <row r="17" spans="1:121" s="18" customFormat="1">
      <c r="A17" s="132">
        <f t="shared" si="15"/>
        <v>7</v>
      </c>
      <c r="B17" s="18">
        <f t="shared" si="64"/>
        <v>7</v>
      </c>
      <c r="C17" s="18">
        <f>IF(A17=0," ",VLOOKUP(B17,'tosafot '!$A$7:$B$234,2,0))</f>
        <v>7.2008000000000001</v>
      </c>
      <c r="D17" s="220">
        <f t="shared" si="65"/>
        <v>228</v>
      </c>
      <c r="E17" s="130">
        <f t="shared" si="66"/>
        <v>12.2026</v>
      </c>
      <c r="F17" s="126">
        <f t="shared" si="67"/>
        <v>22</v>
      </c>
      <c r="G17" s="18" t="str">
        <f t="shared" si="68"/>
        <v>התחבורה</v>
      </c>
      <c r="H17" s="189">
        <f t="shared" si="69"/>
        <v>122</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36.75</v>
      </c>
      <c r="R17" s="128">
        <f t="shared" si="78"/>
        <v>148</v>
      </c>
      <c r="S17" s="130">
        <f t="shared" si="79"/>
        <v>1.4414995494685181</v>
      </c>
      <c r="T17" s="135">
        <f t="shared" si="16"/>
        <v>0</v>
      </c>
      <c r="U17" s="127">
        <f t="shared" si="17"/>
        <v>0</v>
      </c>
      <c r="V17" s="217">
        <v>0</v>
      </c>
      <c r="W17" s="191">
        <v>0</v>
      </c>
      <c r="X17" s="133">
        <v>0</v>
      </c>
      <c r="Y17" s="131">
        <f t="shared" si="18"/>
        <v>2438.5</v>
      </c>
      <c r="Z17" s="131">
        <f t="shared" si="19"/>
        <v>1076.5966513789815</v>
      </c>
      <c r="AA17" s="242">
        <f t="shared" si="20"/>
        <v>3515.0966513789817</v>
      </c>
      <c r="AB17" s="131">
        <f t="shared" si="21"/>
        <v>0</v>
      </c>
      <c r="AC17" s="131">
        <f t="shared" si="22"/>
        <v>140.60386605515927</v>
      </c>
      <c r="AD17" s="131">
        <f t="shared" si="23"/>
        <v>0</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160.55836672570746</v>
      </c>
      <c r="CC17" s="131">
        <f t="shared" si="41"/>
        <v>0</v>
      </c>
      <c r="CD17" s="136">
        <f t="shared" si="42"/>
        <v>0</v>
      </c>
      <c r="CE17" s="131">
        <f t="shared" ref="CE17:CE80" si="102">IF(A17=0," ",CE16)</f>
        <v>0</v>
      </c>
      <c r="CF17" s="136">
        <f t="shared" si="43"/>
        <v>0</v>
      </c>
      <c r="CG17" s="136"/>
      <c r="CH17" s="136">
        <f t="shared" si="101"/>
        <v>0</v>
      </c>
      <c r="CI17" s="131">
        <f t="shared" si="44"/>
        <v>0</v>
      </c>
      <c r="CJ17" s="131"/>
      <c r="CK17" s="136">
        <f t="shared" si="45"/>
        <v>0</v>
      </c>
      <c r="CL17" s="136">
        <f t="shared" si="46"/>
        <v>804.25411383551102</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0</v>
      </c>
      <c r="DC17" s="131">
        <f t="shared" si="13"/>
        <v>0</v>
      </c>
      <c r="DD17" s="131">
        <f t="shared" si="55"/>
        <v>0</v>
      </c>
      <c r="DE17" s="131">
        <f t="shared" si="56"/>
        <v>0</v>
      </c>
      <c r="DF17" s="131">
        <f t="shared" si="57"/>
        <v>0</v>
      </c>
      <c r="DG17" s="131">
        <f t="shared" si="58"/>
        <v>0</v>
      </c>
      <c r="DH17" s="131"/>
      <c r="DI17" s="131"/>
      <c r="DJ17" s="131"/>
      <c r="DK17" s="137">
        <f t="shared" si="99"/>
        <v>4620.5129979953599</v>
      </c>
      <c r="DL17" s="227" t="e">
        <f t="shared" si="59"/>
        <v>#REF!</v>
      </c>
      <c r="DM17" s="227" t="e">
        <f t="shared" si="60"/>
        <v>#REF!</v>
      </c>
      <c r="DN17" s="228" t="e">
        <f t="shared" si="14"/>
        <v>#REF!</v>
      </c>
      <c r="DO17" s="228">
        <f t="shared" si="61"/>
        <v>194.35242757490622</v>
      </c>
      <c r="DP17" s="228" t="e">
        <f t="shared" si="62"/>
        <v>#REF!</v>
      </c>
      <c r="DQ17" s="228" t="e">
        <f t="shared" si="63"/>
        <v>#REF!</v>
      </c>
    </row>
    <row r="18" spans="1:121" s="18" customFormat="1">
      <c r="A18" s="132">
        <f t="shared" si="15"/>
        <v>8</v>
      </c>
      <c r="B18" s="18">
        <f t="shared" si="64"/>
        <v>8</v>
      </c>
      <c r="C18" s="18">
        <f>IF(A18=0," ",VLOOKUP(B18,'tosafot '!$A$7:$B$234,2,0))</f>
        <v>8.2007999999999992</v>
      </c>
      <c r="D18" s="220">
        <f t="shared" si="65"/>
        <v>228</v>
      </c>
      <c r="E18" s="130">
        <f t="shared" si="66"/>
        <v>12.2026</v>
      </c>
      <c r="F18" s="126">
        <f t="shared" si="67"/>
        <v>22</v>
      </c>
      <c r="G18" s="18" t="str">
        <f t="shared" si="68"/>
        <v>התחבורה</v>
      </c>
      <c r="H18" s="189">
        <f t="shared" si="69"/>
        <v>122</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36.75</v>
      </c>
      <c r="R18" s="128">
        <f t="shared" si="78"/>
        <v>148</v>
      </c>
      <c r="S18" s="130">
        <f t="shared" si="79"/>
        <v>1.4414995494685181</v>
      </c>
      <c r="T18" s="135">
        <f t="shared" si="16"/>
        <v>0</v>
      </c>
      <c r="U18" s="127">
        <f t="shared" si="17"/>
        <v>0</v>
      </c>
      <c r="V18" s="217">
        <v>0</v>
      </c>
      <c r="W18" s="191">
        <v>0</v>
      </c>
      <c r="X18" s="133">
        <v>0</v>
      </c>
      <c r="Y18" s="131">
        <f t="shared" si="18"/>
        <v>2438.5</v>
      </c>
      <c r="Z18" s="131">
        <f t="shared" si="19"/>
        <v>1076.5966513789815</v>
      </c>
      <c r="AA18" s="242">
        <f t="shared" si="20"/>
        <v>3515.0966513789817</v>
      </c>
      <c r="AB18" s="131">
        <f t="shared" si="21"/>
        <v>0</v>
      </c>
      <c r="AC18" s="131">
        <f t="shared" si="22"/>
        <v>140.60386605515927</v>
      </c>
      <c r="AD18" s="131">
        <f t="shared" si="23"/>
        <v>0</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160.55836672570746</v>
      </c>
      <c r="CC18" s="131">
        <f t="shared" si="41"/>
        <v>0</v>
      </c>
      <c r="CD18" s="136">
        <f t="shared" si="42"/>
        <v>0</v>
      </c>
      <c r="CE18" s="131">
        <f t="shared" si="102"/>
        <v>0</v>
      </c>
      <c r="CF18" s="136">
        <f t="shared" si="43"/>
        <v>0</v>
      </c>
      <c r="CG18" s="136"/>
      <c r="CH18" s="136">
        <f t="shared" si="101"/>
        <v>0</v>
      </c>
      <c r="CI18" s="131">
        <f t="shared" si="44"/>
        <v>0</v>
      </c>
      <c r="CJ18" s="131"/>
      <c r="CK18" s="136">
        <f t="shared" si="45"/>
        <v>0</v>
      </c>
      <c r="CL18" s="136">
        <f t="shared" si="46"/>
        <v>804.25411383551102</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0</v>
      </c>
      <c r="DC18" s="131">
        <f t="shared" si="13"/>
        <v>0</v>
      </c>
      <c r="DD18" s="131">
        <f t="shared" si="55"/>
        <v>0</v>
      </c>
      <c r="DE18" s="131">
        <f t="shared" si="56"/>
        <v>0</v>
      </c>
      <c r="DF18" s="131">
        <f t="shared" si="57"/>
        <v>0</v>
      </c>
      <c r="DG18" s="131">
        <f t="shared" si="58"/>
        <v>0</v>
      </c>
      <c r="DH18" s="131"/>
      <c r="DI18" s="131"/>
      <c r="DJ18" s="131"/>
      <c r="DK18" s="137">
        <f t="shared" si="99"/>
        <v>4620.5129979953599</v>
      </c>
      <c r="DL18" s="227" t="e">
        <f t="shared" si="59"/>
        <v>#REF!</v>
      </c>
      <c r="DM18" s="227" t="e">
        <f t="shared" si="60"/>
        <v>#REF!</v>
      </c>
      <c r="DN18" s="228" t="e">
        <f t="shared" si="14"/>
        <v>#REF!</v>
      </c>
      <c r="DO18" s="228">
        <f t="shared" si="61"/>
        <v>194.35242757490622</v>
      </c>
      <c r="DP18" s="228" t="e">
        <f t="shared" si="62"/>
        <v>#REF!</v>
      </c>
      <c r="DQ18" s="228" t="e">
        <f t="shared" si="63"/>
        <v>#REF!</v>
      </c>
    </row>
    <row r="19" spans="1:121" s="18" customFormat="1">
      <c r="A19" s="132">
        <f t="shared" si="15"/>
        <v>9</v>
      </c>
      <c r="B19" s="18">
        <f t="shared" si="64"/>
        <v>9</v>
      </c>
      <c r="C19" s="18">
        <f>IF(A19=0," ",VLOOKUP(B19,'tosafot '!$A$7:$B$234,2,0))</f>
        <v>9.2007999999999992</v>
      </c>
      <c r="D19" s="220">
        <f t="shared" si="65"/>
        <v>228</v>
      </c>
      <c r="E19" s="130">
        <f t="shared" si="66"/>
        <v>12.2026</v>
      </c>
      <c r="F19" s="126">
        <f t="shared" si="67"/>
        <v>22</v>
      </c>
      <c r="G19" s="18" t="str">
        <f t="shared" si="68"/>
        <v>התחבורה</v>
      </c>
      <c r="H19" s="189">
        <f t="shared" si="69"/>
        <v>122</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36.75</v>
      </c>
      <c r="R19" s="128">
        <f t="shared" si="78"/>
        <v>148</v>
      </c>
      <c r="S19" s="130">
        <f t="shared" si="79"/>
        <v>1.4414995494685181</v>
      </c>
      <c r="T19" s="135">
        <f t="shared" si="16"/>
        <v>0</v>
      </c>
      <c r="U19" s="127">
        <f t="shared" si="17"/>
        <v>0</v>
      </c>
      <c r="V19" s="217">
        <v>0</v>
      </c>
      <c r="W19" s="191">
        <v>0</v>
      </c>
      <c r="X19" s="133">
        <v>0</v>
      </c>
      <c r="Y19" s="131">
        <f t="shared" si="18"/>
        <v>2438.5</v>
      </c>
      <c r="Z19" s="131">
        <f t="shared" si="19"/>
        <v>1076.5966513789815</v>
      </c>
      <c r="AA19" s="242">
        <f t="shared" si="20"/>
        <v>3515.0966513789817</v>
      </c>
      <c r="AB19" s="131">
        <f t="shared" si="21"/>
        <v>0</v>
      </c>
      <c r="AC19" s="131">
        <f t="shared" si="22"/>
        <v>140.60386605515927</v>
      </c>
      <c r="AD19" s="131">
        <f t="shared" si="23"/>
        <v>0</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160.55836672570746</v>
      </c>
      <c r="CC19" s="131">
        <f t="shared" si="41"/>
        <v>0</v>
      </c>
      <c r="CD19" s="136">
        <f t="shared" si="42"/>
        <v>0</v>
      </c>
      <c r="CE19" s="131">
        <f t="shared" si="102"/>
        <v>0</v>
      </c>
      <c r="CF19" s="136">
        <f t="shared" si="43"/>
        <v>0</v>
      </c>
      <c r="CG19" s="136"/>
      <c r="CH19" s="136">
        <f t="shared" si="101"/>
        <v>0</v>
      </c>
      <c r="CI19" s="131">
        <f t="shared" si="44"/>
        <v>0</v>
      </c>
      <c r="CJ19" s="131"/>
      <c r="CK19" s="136">
        <f t="shared" si="45"/>
        <v>0</v>
      </c>
      <c r="CL19" s="136">
        <f t="shared" si="46"/>
        <v>804.25411383551102</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0</v>
      </c>
      <c r="DC19" s="131">
        <f t="shared" si="13"/>
        <v>0</v>
      </c>
      <c r="DD19" s="131">
        <f t="shared" si="55"/>
        <v>0</v>
      </c>
      <c r="DE19" s="131">
        <f t="shared" si="56"/>
        <v>0</v>
      </c>
      <c r="DF19" s="131">
        <f t="shared" si="57"/>
        <v>0</v>
      </c>
      <c r="DG19" s="131">
        <f t="shared" si="58"/>
        <v>0</v>
      </c>
      <c r="DH19" s="131"/>
      <c r="DI19" s="131"/>
      <c r="DJ19" s="131"/>
      <c r="DK19" s="137">
        <f t="shared" si="99"/>
        <v>4620.5129979953599</v>
      </c>
      <c r="DL19" s="227" t="e">
        <f t="shared" si="59"/>
        <v>#REF!</v>
      </c>
      <c r="DM19" s="227" t="e">
        <f t="shared" si="60"/>
        <v>#REF!</v>
      </c>
      <c r="DN19" s="228" t="e">
        <f t="shared" si="14"/>
        <v>#REF!</v>
      </c>
      <c r="DO19" s="228">
        <f t="shared" si="61"/>
        <v>194.35242757490622</v>
      </c>
      <c r="DP19" s="228" t="e">
        <f t="shared" si="62"/>
        <v>#REF!</v>
      </c>
      <c r="DQ19" s="228" t="e">
        <f t="shared" si="63"/>
        <v>#REF!</v>
      </c>
    </row>
    <row r="20" spans="1:121" s="18" customFormat="1">
      <c r="A20" s="132">
        <f t="shared" si="15"/>
        <v>10</v>
      </c>
      <c r="B20" s="18">
        <f t="shared" si="64"/>
        <v>10</v>
      </c>
      <c r="C20" s="18">
        <f>IF(A20=0," ",VLOOKUP(B20,'tosafot '!$A$7:$B$234,2,0))</f>
        <v>10.200799999999999</v>
      </c>
      <c r="D20" s="220">
        <f t="shared" si="65"/>
        <v>228</v>
      </c>
      <c r="E20" s="130">
        <f t="shared" si="66"/>
        <v>12.2026</v>
      </c>
      <c r="F20" s="126">
        <f t="shared" si="67"/>
        <v>22</v>
      </c>
      <c r="G20" s="18" t="str">
        <f t="shared" si="68"/>
        <v>התחבורה</v>
      </c>
      <c r="H20" s="189">
        <f t="shared" si="69"/>
        <v>122</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36.75</v>
      </c>
      <c r="R20" s="128">
        <f t="shared" si="78"/>
        <v>148</v>
      </c>
      <c r="S20" s="130">
        <f t="shared" si="79"/>
        <v>1.4414995494685181</v>
      </c>
      <c r="T20" s="135">
        <f t="shared" si="16"/>
        <v>0</v>
      </c>
      <c r="U20" s="127">
        <f t="shared" si="17"/>
        <v>0</v>
      </c>
      <c r="V20" s="217">
        <v>0</v>
      </c>
      <c r="W20" s="191">
        <v>0</v>
      </c>
      <c r="X20" s="133">
        <v>0</v>
      </c>
      <c r="Y20" s="131">
        <f t="shared" si="18"/>
        <v>2438.5</v>
      </c>
      <c r="Z20" s="131">
        <f t="shared" si="19"/>
        <v>1076.5966513789815</v>
      </c>
      <c r="AA20" s="242">
        <f t="shared" si="20"/>
        <v>3515.0966513789817</v>
      </c>
      <c r="AB20" s="131">
        <f t="shared" si="21"/>
        <v>0</v>
      </c>
      <c r="AC20" s="131">
        <f t="shared" si="22"/>
        <v>140.60386605515927</v>
      </c>
      <c r="AD20" s="131">
        <f t="shared" si="23"/>
        <v>0</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160.55836672570746</v>
      </c>
      <c r="CC20" s="131">
        <f t="shared" si="41"/>
        <v>0</v>
      </c>
      <c r="CD20" s="136">
        <f t="shared" si="42"/>
        <v>0</v>
      </c>
      <c r="CE20" s="131">
        <f t="shared" si="102"/>
        <v>0</v>
      </c>
      <c r="CF20" s="136">
        <f t="shared" si="43"/>
        <v>0</v>
      </c>
      <c r="CG20" s="136"/>
      <c r="CH20" s="136">
        <f t="shared" si="101"/>
        <v>0</v>
      </c>
      <c r="CI20" s="131">
        <f t="shared" si="44"/>
        <v>0</v>
      </c>
      <c r="CJ20" s="131"/>
      <c r="CK20" s="136">
        <f t="shared" si="45"/>
        <v>0</v>
      </c>
      <c r="CL20" s="136">
        <f t="shared" si="46"/>
        <v>804.25411383551102</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0</v>
      </c>
      <c r="DC20" s="131">
        <f t="shared" si="13"/>
        <v>0</v>
      </c>
      <c r="DD20" s="131">
        <f t="shared" si="55"/>
        <v>0</v>
      </c>
      <c r="DE20" s="131">
        <f t="shared" si="56"/>
        <v>0</v>
      </c>
      <c r="DF20" s="131">
        <f t="shared" si="57"/>
        <v>0</v>
      </c>
      <c r="DG20" s="131">
        <f t="shared" si="58"/>
        <v>0</v>
      </c>
      <c r="DH20" s="131"/>
      <c r="DI20" s="131"/>
      <c r="DJ20" s="131"/>
      <c r="DK20" s="137">
        <f t="shared" si="99"/>
        <v>4620.5129979953599</v>
      </c>
      <c r="DL20" s="227" t="e">
        <f t="shared" si="59"/>
        <v>#REF!</v>
      </c>
      <c r="DM20" s="227" t="e">
        <f t="shared" si="60"/>
        <v>#REF!</v>
      </c>
      <c r="DN20" s="228" t="e">
        <f t="shared" si="14"/>
        <v>#REF!</v>
      </c>
      <c r="DO20" s="228">
        <f t="shared" si="61"/>
        <v>194.35242757490622</v>
      </c>
      <c r="DP20" s="228" t="e">
        <f t="shared" si="62"/>
        <v>#REF!</v>
      </c>
      <c r="DQ20" s="228" t="e">
        <f t="shared" si="63"/>
        <v>#REF!</v>
      </c>
    </row>
    <row r="21" spans="1:121" s="18" customFormat="1">
      <c r="A21" s="132">
        <f t="shared" si="15"/>
        <v>11</v>
      </c>
      <c r="B21" s="18">
        <f t="shared" si="64"/>
        <v>11</v>
      </c>
      <c r="C21" s="18">
        <f>IF(A21=0," ",VLOOKUP(B21,'tosafot '!$A$7:$B$234,2,0))</f>
        <v>11.200799999999999</v>
      </c>
      <c r="D21" s="220">
        <f t="shared" si="65"/>
        <v>228</v>
      </c>
      <c r="E21" s="130">
        <f t="shared" si="66"/>
        <v>12.2026</v>
      </c>
      <c r="F21" s="126">
        <f t="shared" si="67"/>
        <v>22</v>
      </c>
      <c r="G21" s="18" t="str">
        <f t="shared" si="68"/>
        <v>התחבורה</v>
      </c>
      <c r="H21" s="189">
        <f t="shared" si="69"/>
        <v>122</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36.75</v>
      </c>
      <c r="R21" s="128">
        <f t="shared" si="78"/>
        <v>148</v>
      </c>
      <c r="S21" s="130">
        <f t="shared" si="79"/>
        <v>1.4414995494685181</v>
      </c>
      <c r="T21" s="135">
        <f t="shared" si="16"/>
        <v>0</v>
      </c>
      <c r="U21" s="127">
        <f t="shared" si="17"/>
        <v>0</v>
      </c>
      <c r="V21" s="217">
        <v>0</v>
      </c>
      <c r="W21" s="191">
        <v>0</v>
      </c>
      <c r="X21" s="133">
        <v>0</v>
      </c>
      <c r="Y21" s="131">
        <f t="shared" si="18"/>
        <v>2438.5</v>
      </c>
      <c r="Z21" s="131">
        <f t="shared" si="19"/>
        <v>1076.5966513789815</v>
      </c>
      <c r="AA21" s="242">
        <f t="shared" si="20"/>
        <v>3515.0966513789817</v>
      </c>
      <c r="AB21" s="131">
        <f t="shared" si="21"/>
        <v>0</v>
      </c>
      <c r="AC21" s="131">
        <f t="shared" si="22"/>
        <v>140.60386605515927</v>
      </c>
      <c r="AD21" s="131">
        <f t="shared" si="23"/>
        <v>0</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160.55836672570746</v>
      </c>
      <c r="CC21" s="131">
        <f t="shared" si="41"/>
        <v>0</v>
      </c>
      <c r="CD21" s="136">
        <f t="shared" si="42"/>
        <v>0</v>
      </c>
      <c r="CE21" s="131">
        <f t="shared" si="102"/>
        <v>0</v>
      </c>
      <c r="CF21" s="136">
        <f t="shared" si="43"/>
        <v>0</v>
      </c>
      <c r="CG21" s="136"/>
      <c r="CH21" s="136">
        <f t="shared" si="101"/>
        <v>0</v>
      </c>
      <c r="CI21" s="131">
        <f t="shared" si="44"/>
        <v>0</v>
      </c>
      <c r="CJ21" s="131"/>
      <c r="CK21" s="136">
        <f t="shared" si="45"/>
        <v>0</v>
      </c>
      <c r="CL21" s="136">
        <f t="shared" si="46"/>
        <v>804.25411383551102</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0</v>
      </c>
      <c r="DC21" s="131">
        <f t="shared" si="13"/>
        <v>0</v>
      </c>
      <c r="DD21" s="131">
        <f t="shared" si="55"/>
        <v>0</v>
      </c>
      <c r="DE21" s="131">
        <f t="shared" si="56"/>
        <v>0</v>
      </c>
      <c r="DF21" s="131">
        <f t="shared" si="57"/>
        <v>0</v>
      </c>
      <c r="DG21" s="131">
        <f t="shared" si="58"/>
        <v>0</v>
      </c>
      <c r="DH21" s="131"/>
      <c r="DI21" s="131"/>
      <c r="DJ21" s="131"/>
      <c r="DK21" s="137">
        <f t="shared" si="99"/>
        <v>4620.5129979953599</v>
      </c>
      <c r="DL21" s="227" t="e">
        <f t="shared" si="59"/>
        <v>#REF!</v>
      </c>
      <c r="DM21" s="227" t="e">
        <f t="shared" si="60"/>
        <v>#REF!</v>
      </c>
      <c r="DN21" s="228" t="e">
        <f t="shared" si="14"/>
        <v>#REF!</v>
      </c>
      <c r="DO21" s="228">
        <f t="shared" si="61"/>
        <v>194.35242757490622</v>
      </c>
      <c r="DP21" s="228" t="e">
        <f t="shared" si="62"/>
        <v>#REF!</v>
      </c>
      <c r="DQ21" s="228" t="e">
        <f t="shared" si="63"/>
        <v>#REF!</v>
      </c>
    </row>
    <row r="22" spans="1:121" s="18" customFormat="1">
      <c r="A22" s="132">
        <f t="shared" si="15"/>
        <v>12</v>
      </c>
      <c r="B22" s="18">
        <f t="shared" si="64"/>
        <v>12</v>
      </c>
      <c r="C22" s="18">
        <f>IF(A22=0," ",VLOOKUP(B22,'tosafot '!$A$7:$B$234,2,0))</f>
        <v>12.200799999999999</v>
      </c>
      <c r="D22" s="220">
        <f t="shared" si="65"/>
        <v>228</v>
      </c>
      <c r="E22" s="130">
        <f t="shared" si="66"/>
        <v>12.2026</v>
      </c>
      <c r="F22" s="126">
        <f t="shared" si="67"/>
        <v>22</v>
      </c>
      <c r="G22" s="18" t="str">
        <f t="shared" si="68"/>
        <v>התחבורה</v>
      </c>
      <c r="H22" s="189">
        <f t="shared" si="69"/>
        <v>122</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36.75</v>
      </c>
      <c r="R22" s="128">
        <f t="shared" si="78"/>
        <v>148</v>
      </c>
      <c r="S22" s="130">
        <f t="shared" si="79"/>
        <v>1.4414995494685181</v>
      </c>
      <c r="T22" s="135">
        <f t="shared" si="16"/>
        <v>0</v>
      </c>
      <c r="U22" s="127">
        <f t="shared" si="17"/>
        <v>0</v>
      </c>
      <c r="V22" s="217">
        <v>0</v>
      </c>
      <c r="W22" s="191">
        <v>0</v>
      </c>
      <c r="X22" s="133">
        <v>0</v>
      </c>
      <c r="Y22" s="131">
        <f t="shared" si="18"/>
        <v>2438.5</v>
      </c>
      <c r="Z22" s="131">
        <f t="shared" si="19"/>
        <v>1076.5966513789815</v>
      </c>
      <c r="AA22" s="242">
        <f t="shared" si="20"/>
        <v>3515.0966513789817</v>
      </c>
      <c r="AB22" s="131">
        <f t="shared" si="21"/>
        <v>0</v>
      </c>
      <c r="AC22" s="131">
        <f t="shared" si="22"/>
        <v>140.60386605515927</v>
      </c>
      <c r="AD22" s="131">
        <f t="shared" si="23"/>
        <v>0</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160.55836672570746</v>
      </c>
      <c r="CC22" s="131">
        <f t="shared" si="41"/>
        <v>0</v>
      </c>
      <c r="CD22" s="136">
        <f t="shared" si="42"/>
        <v>0</v>
      </c>
      <c r="CE22" s="131">
        <f t="shared" si="102"/>
        <v>0</v>
      </c>
      <c r="CF22" s="136">
        <f t="shared" si="43"/>
        <v>0</v>
      </c>
      <c r="CG22" s="136"/>
      <c r="CH22" s="136">
        <f t="shared" si="101"/>
        <v>0</v>
      </c>
      <c r="CI22" s="131">
        <f t="shared" si="44"/>
        <v>0</v>
      </c>
      <c r="CJ22" s="131"/>
      <c r="CK22" s="136">
        <f t="shared" si="45"/>
        <v>0</v>
      </c>
      <c r="CL22" s="136">
        <f t="shared" si="46"/>
        <v>804.25411383551102</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0</v>
      </c>
      <c r="DC22" s="131">
        <f t="shared" si="13"/>
        <v>0</v>
      </c>
      <c r="DD22" s="131">
        <f t="shared" si="55"/>
        <v>0</v>
      </c>
      <c r="DE22" s="131">
        <f t="shared" si="56"/>
        <v>0</v>
      </c>
      <c r="DF22" s="131">
        <f t="shared" si="57"/>
        <v>0</v>
      </c>
      <c r="DG22" s="131">
        <f t="shared" si="58"/>
        <v>0</v>
      </c>
      <c r="DH22" s="131"/>
      <c r="DI22" s="131"/>
      <c r="DJ22" s="131"/>
      <c r="DK22" s="137">
        <f t="shared" si="99"/>
        <v>4620.5129979953599</v>
      </c>
      <c r="DL22" s="227" t="e">
        <f t="shared" si="59"/>
        <v>#REF!</v>
      </c>
      <c r="DM22" s="227" t="e">
        <f t="shared" si="60"/>
        <v>#REF!</v>
      </c>
      <c r="DN22" s="228" t="e">
        <f t="shared" si="14"/>
        <v>#REF!</v>
      </c>
      <c r="DO22" s="228">
        <f t="shared" si="61"/>
        <v>194.35242757490622</v>
      </c>
      <c r="DP22" s="228" t="e">
        <f t="shared" si="62"/>
        <v>#REF!</v>
      </c>
      <c r="DQ22" s="228" t="e">
        <f t="shared" si="63"/>
        <v>#REF!</v>
      </c>
    </row>
    <row r="23" spans="1:121">
      <c r="A23" s="132">
        <f t="shared" si="15"/>
        <v>13</v>
      </c>
      <c r="B23" s="18">
        <f t="shared" si="64"/>
        <v>13</v>
      </c>
      <c r="C23" s="18">
        <f>IF(A23=0," ",VLOOKUP(B23,'tosafot '!$A$7:$B$234,2,0))</f>
        <v>1.2009000000000001</v>
      </c>
      <c r="D23" s="220">
        <f t="shared" si="65"/>
        <v>228</v>
      </c>
      <c r="E23" s="130">
        <f t="shared" si="66"/>
        <v>12.2026</v>
      </c>
      <c r="F23" s="126">
        <f t="shared" si="67"/>
        <v>22</v>
      </c>
      <c r="G23" s="18" t="str">
        <f t="shared" si="68"/>
        <v>התחבורה</v>
      </c>
      <c r="H23" s="189">
        <f t="shared" si="69"/>
        <v>122</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36.75</v>
      </c>
      <c r="R23" s="128">
        <f t="shared" si="78"/>
        <v>148</v>
      </c>
      <c r="S23" s="130">
        <f t="shared" si="79"/>
        <v>1.4414995494685181</v>
      </c>
      <c r="T23" s="135">
        <f t="shared" si="16"/>
        <v>0</v>
      </c>
      <c r="U23" s="127">
        <f t="shared" si="17"/>
        <v>0</v>
      </c>
      <c r="V23" s="217">
        <v>0</v>
      </c>
      <c r="W23" s="191">
        <v>0</v>
      </c>
      <c r="X23" s="133">
        <v>0</v>
      </c>
      <c r="Y23" s="131">
        <f t="shared" si="18"/>
        <v>2438.5</v>
      </c>
      <c r="Z23" s="131">
        <f t="shared" si="19"/>
        <v>1076.5966513789815</v>
      </c>
      <c r="AA23" s="242">
        <f t="shared" si="20"/>
        <v>3515.0966513789817</v>
      </c>
      <c r="AB23" s="131">
        <f t="shared" si="21"/>
        <v>0</v>
      </c>
      <c r="AC23" s="131">
        <f t="shared" si="22"/>
        <v>140.60386605515927</v>
      </c>
      <c r="AD23" s="131">
        <f t="shared" si="23"/>
        <v>0</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160.55836672570746</v>
      </c>
      <c r="CC23" s="131">
        <f t="shared" si="41"/>
        <v>0</v>
      </c>
      <c r="CD23" s="136">
        <f t="shared" si="42"/>
        <v>0</v>
      </c>
      <c r="CE23" s="131">
        <f t="shared" si="102"/>
        <v>0</v>
      </c>
      <c r="CF23" s="136">
        <f t="shared" si="43"/>
        <v>0</v>
      </c>
      <c r="CG23" s="136"/>
      <c r="CH23" s="136">
        <f t="shared" si="101"/>
        <v>0</v>
      </c>
      <c r="CI23" s="131">
        <f t="shared" si="44"/>
        <v>0</v>
      </c>
      <c r="CJ23" s="131"/>
      <c r="CK23" s="136">
        <f t="shared" si="45"/>
        <v>0</v>
      </c>
      <c r="CL23" s="136">
        <f t="shared" si="46"/>
        <v>804.25411383551102</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0</v>
      </c>
      <c r="DC23" s="131">
        <f t="shared" si="13"/>
        <v>0</v>
      </c>
      <c r="DD23" s="131">
        <f t="shared" si="55"/>
        <v>0</v>
      </c>
      <c r="DE23" s="131">
        <f t="shared" si="56"/>
        <v>0</v>
      </c>
      <c r="DF23" s="131">
        <f t="shared" si="57"/>
        <v>0</v>
      </c>
      <c r="DG23" s="131">
        <f t="shared" si="58"/>
        <v>0</v>
      </c>
      <c r="DH23" s="131"/>
      <c r="DI23" s="131"/>
      <c r="DJ23" s="131"/>
      <c r="DK23" s="137">
        <f t="shared" si="99"/>
        <v>4620.5129979953599</v>
      </c>
      <c r="DL23" s="227" t="e">
        <f t="shared" si="59"/>
        <v>#REF!</v>
      </c>
      <c r="DM23" s="227" t="e">
        <f t="shared" si="60"/>
        <v>#REF!</v>
      </c>
      <c r="DN23" s="228" t="e">
        <f t="shared" si="14"/>
        <v>#REF!</v>
      </c>
      <c r="DO23" s="228">
        <f t="shared" si="61"/>
        <v>194.35242757490622</v>
      </c>
      <c r="DP23" s="228" t="e">
        <f t="shared" si="62"/>
        <v>#REF!</v>
      </c>
      <c r="DQ23" s="228" t="e">
        <f t="shared" si="63"/>
        <v>#REF!</v>
      </c>
    </row>
    <row r="24" spans="1:121">
      <c r="A24" s="132">
        <f t="shared" si="15"/>
        <v>14</v>
      </c>
      <c r="B24" s="18">
        <f t="shared" si="64"/>
        <v>14</v>
      </c>
      <c r="C24" s="18">
        <f>IF(A24=0," ",VLOOKUP(B24,'tosafot '!$A$7:$B$234,2,0))</f>
        <v>2.2008999999999999</v>
      </c>
      <c r="D24" s="220">
        <f t="shared" si="65"/>
        <v>228</v>
      </c>
      <c r="E24" s="130">
        <f t="shared" si="66"/>
        <v>12.2026</v>
      </c>
      <c r="F24" s="126">
        <f t="shared" si="67"/>
        <v>22</v>
      </c>
      <c r="G24" s="18" t="str">
        <f t="shared" si="68"/>
        <v>התחבורה</v>
      </c>
      <c r="H24" s="189">
        <f t="shared" si="69"/>
        <v>122</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36.75</v>
      </c>
      <c r="R24" s="128">
        <f t="shared" si="78"/>
        <v>148</v>
      </c>
      <c r="S24" s="130">
        <f t="shared" si="79"/>
        <v>1.4414995494685181</v>
      </c>
      <c r="T24" s="135">
        <f t="shared" si="16"/>
        <v>0</v>
      </c>
      <c r="U24" s="127">
        <f t="shared" si="17"/>
        <v>0</v>
      </c>
      <c r="V24" s="217">
        <v>0</v>
      </c>
      <c r="W24" s="191">
        <v>0</v>
      </c>
      <c r="X24" s="133">
        <v>0</v>
      </c>
      <c r="Y24" s="131">
        <f t="shared" si="18"/>
        <v>2438.5</v>
      </c>
      <c r="Z24" s="131">
        <f t="shared" si="19"/>
        <v>1076.5966513789815</v>
      </c>
      <c r="AA24" s="242">
        <f t="shared" si="20"/>
        <v>3515.0966513789817</v>
      </c>
      <c r="AB24" s="131">
        <f t="shared" si="21"/>
        <v>0</v>
      </c>
      <c r="AC24" s="131">
        <f t="shared" si="22"/>
        <v>140.60386605515927</v>
      </c>
      <c r="AD24" s="131">
        <f t="shared" si="23"/>
        <v>0</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160.55836672570746</v>
      </c>
      <c r="CC24" s="131">
        <f t="shared" si="41"/>
        <v>0</v>
      </c>
      <c r="CD24" s="136">
        <f t="shared" si="42"/>
        <v>0</v>
      </c>
      <c r="CE24" s="131">
        <f t="shared" si="102"/>
        <v>0</v>
      </c>
      <c r="CF24" s="136">
        <f t="shared" si="43"/>
        <v>0</v>
      </c>
      <c r="CG24" s="136"/>
      <c r="CH24" s="136">
        <f t="shared" si="101"/>
        <v>0</v>
      </c>
      <c r="CI24" s="131">
        <f t="shared" si="44"/>
        <v>0</v>
      </c>
      <c r="CJ24" s="131"/>
      <c r="CK24" s="136">
        <f t="shared" si="45"/>
        <v>0</v>
      </c>
      <c r="CL24" s="136">
        <f t="shared" si="46"/>
        <v>804.25411383551102</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0</v>
      </c>
      <c r="DC24" s="131">
        <f t="shared" si="13"/>
        <v>0</v>
      </c>
      <c r="DD24" s="131">
        <f t="shared" si="55"/>
        <v>0</v>
      </c>
      <c r="DE24" s="131">
        <f t="shared" si="56"/>
        <v>0</v>
      </c>
      <c r="DF24" s="131">
        <f t="shared" si="57"/>
        <v>0</v>
      </c>
      <c r="DG24" s="131">
        <f t="shared" si="58"/>
        <v>0</v>
      </c>
      <c r="DH24" s="131"/>
      <c r="DI24" s="131"/>
      <c r="DJ24" s="131"/>
      <c r="DK24" s="137">
        <f t="shared" si="99"/>
        <v>4620.5129979953599</v>
      </c>
      <c r="DL24" s="227" t="e">
        <f t="shared" si="59"/>
        <v>#REF!</v>
      </c>
      <c r="DM24" s="227" t="e">
        <f t="shared" si="60"/>
        <v>#REF!</v>
      </c>
      <c r="DN24" s="228" t="e">
        <f t="shared" si="14"/>
        <v>#REF!</v>
      </c>
      <c r="DO24" s="228">
        <f t="shared" si="61"/>
        <v>194.35242757490622</v>
      </c>
      <c r="DP24" s="228" t="e">
        <f t="shared" si="62"/>
        <v>#REF!</v>
      </c>
      <c r="DQ24" s="228" t="e">
        <f t="shared" si="63"/>
        <v>#REF!</v>
      </c>
    </row>
    <row r="25" spans="1:121">
      <c r="A25" s="132">
        <f t="shared" si="15"/>
        <v>15</v>
      </c>
      <c r="B25" s="18">
        <f t="shared" si="64"/>
        <v>15</v>
      </c>
      <c r="C25" s="18">
        <f>IF(A25=0," ",VLOOKUP(B25,'tosafot '!$A$7:$B$234,2,0))</f>
        <v>3.2008999999999999</v>
      </c>
      <c r="D25" s="220">
        <f t="shared" si="65"/>
        <v>228</v>
      </c>
      <c r="E25" s="130">
        <f t="shared" si="66"/>
        <v>12.2026</v>
      </c>
      <c r="F25" s="126">
        <f t="shared" si="67"/>
        <v>22</v>
      </c>
      <c r="G25" s="18" t="str">
        <f t="shared" si="68"/>
        <v>התחבורה</v>
      </c>
      <c r="H25" s="189">
        <f t="shared" si="69"/>
        <v>122</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36.75</v>
      </c>
      <c r="R25" s="128">
        <f t="shared" si="78"/>
        <v>148</v>
      </c>
      <c r="S25" s="130">
        <f t="shared" si="79"/>
        <v>1.4414995494685181</v>
      </c>
      <c r="T25" s="135">
        <f t="shared" si="16"/>
        <v>0</v>
      </c>
      <c r="U25" s="127">
        <f t="shared" si="17"/>
        <v>0</v>
      </c>
      <c r="V25" s="217">
        <v>0</v>
      </c>
      <c r="W25" s="191">
        <v>0</v>
      </c>
      <c r="X25" s="133">
        <v>0</v>
      </c>
      <c r="Y25" s="131">
        <f t="shared" si="18"/>
        <v>2438.5</v>
      </c>
      <c r="Z25" s="131">
        <f t="shared" si="19"/>
        <v>1076.5966513789815</v>
      </c>
      <c r="AA25" s="242">
        <f t="shared" si="20"/>
        <v>3515.0966513789817</v>
      </c>
      <c r="AB25" s="131">
        <f t="shared" si="21"/>
        <v>0</v>
      </c>
      <c r="AC25" s="131">
        <f t="shared" si="22"/>
        <v>140.60386605515927</v>
      </c>
      <c r="AD25" s="131">
        <f t="shared" si="23"/>
        <v>0</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160.55836672570746</v>
      </c>
      <c r="CC25" s="131">
        <f t="shared" si="41"/>
        <v>0</v>
      </c>
      <c r="CD25" s="136">
        <f t="shared" si="42"/>
        <v>0</v>
      </c>
      <c r="CE25" s="131">
        <f t="shared" si="102"/>
        <v>0</v>
      </c>
      <c r="CF25" s="136">
        <f t="shared" si="43"/>
        <v>0</v>
      </c>
      <c r="CG25" s="136"/>
      <c r="CH25" s="136">
        <f t="shared" si="101"/>
        <v>0</v>
      </c>
      <c r="CI25" s="131">
        <f t="shared" si="44"/>
        <v>0</v>
      </c>
      <c r="CJ25" s="131"/>
      <c r="CK25" s="136">
        <f t="shared" si="45"/>
        <v>0</v>
      </c>
      <c r="CL25" s="136">
        <f t="shared" si="46"/>
        <v>804.25411383551102</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0</v>
      </c>
      <c r="DC25" s="131">
        <f t="shared" si="13"/>
        <v>0</v>
      </c>
      <c r="DD25" s="131">
        <f t="shared" si="55"/>
        <v>0</v>
      </c>
      <c r="DE25" s="131">
        <f t="shared" si="56"/>
        <v>0</v>
      </c>
      <c r="DF25" s="131">
        <f t="shared" si="57"/>
        <v>0</v>
      </c>
      <c r="DG25" s="131">
        <f t="shared" si="58"/>
        <v>0</v>
      </c>
      <c r="DH25" s="131"/>
      <c r="DI25" s="131"/>
      <c r="DJ25" s="131"/>
      <c r="DK25" s="137">
        <f t="shared" si="99"/>
        <v>4620.5129979953599</v>
      </c>
      <c r="DL25" s="227" t="e">
        <f t="shared" si="59"/>
        <v>#REF!</v>
      </c>
      <c r="DM25" s="227" t="e">
        <f t="shared" si="60"/>
        <v>#REF!</v>
      </c>
      <c r="DN25" s="228" t="e">
        <f t="shared" si="14"/>
        <v>#REF!</v>
      </c>
      <c r="DO25" s="228">
        <f t="shared" si="61"/>
        <v>194.35242757490622</v>
      </c>
      <c r="DP25" s="228" t="e">
        <f t="shared" si="62"/>
        <v>#REF!</v>
      </c>
      <c r="DQ25" s="228" t="e">
        <f t="shared" si="63"/>
        <v>#REF!</v>
      </c>
    </row>
    <row r="26" spans="1:121">
      <c r="A26" s="132">
        <f t="shared" si="15"/>
        <v>16</v>
      </c>
      <c r="B26" s="18">
        <f t="shared" si="64"/>
        <v>16</v>
      </c>
      <c r="C26" s="18">
        <f>IF(A26=0," ",VLOOKUP(B26,'tosafot '!$A$7:$B$234,2,0))</f>
        <v>4.2008999999999999</v>
      </c>
      <c r="D26" s="220">
        <f t="shared" si="65"/>
        <v>228</v>
      </c>
      <c r="E26" s="130">
        <f t="shared" si="66"/>
        <v>12.2026</v>
      </c>
      <c r="F26" s="126">
        <f t="shared" si="67"/>
        <v>22</v>
      </c>
      <c r="G26" s="18" t="str">
        <f t="shared" si="68"/>
        <v>התחבורה</v>
      </c>
      <c r="H26" s="189">
        <f t="shared" si="69"/>
        <v>122</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36.75</v>
      </c>
      <c r="R26" s="128">
        <f t="shared" si="78"/>
        <v>148</v>
      </c>
      <c r="S26" s="130">
        <f t="shared" si="79"/>
        <v>1.4414995494685181</v>
      </c>
      <c r="T26" s="135">
        <f t="shared" si="16"/>
        <v>0</v>
      </c>
      <c r="U26" s="127">
        <f t="shared" si="17"/>
        <v>0</v>
      </c>
      <c r="V26" s="217">
        <v>0</v>
      </c>
      <c r="W26" s="191">
        <v>0</v>
      </c>
      <c r="X26" s="133">
        <v>0</v>
      </c>
      <c r="Y26" s="131">
        <f t="shared" si="18"/>
        <v>2438.5</v>
      </c>
      <c r="Z26" s="131">
        <f t="shared" si="19"/>
        <v>1076.5966513789815</v>
      </c>
      <c r="AA26" s="242">
        <f t="shared" si="20"/>
        <v>3515.0966513789817</v>
      </c>
      <c r="AB26" s="131">
        <f t="shared" si="21"/>
        <v>0</v>
      </c>
      <c r="AC26" s="131">
        <f t="shared" si="22"/>
        <v>140.60386605515927</v>
      </c>
      <c r="AD26" s="131">
        <f t="shared" si="23"/>
        <v>0</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160.55836672570746</v>
      </c>
      <c r="CC26" s="131">
        <f t="shared" si="41"/>
        <v>0</v>
      </c>
      <c r="CD26" s="136">
        <f t="shared" si="42"/>
        <v>0</v>
      </c>
      <c r="CE26" s="131">
        <f t="shared" si="102"/>
        <v>0</v>
      </c>
      <c r="CF26" s="136">
        <f t="shared" si="43"/>
        <v>0</v>
      </c>
      <c r="CG26" s="136"/>
      <c r="CH26" s="136">
        <f t="shared" si="101"/>
        <v>0</v>
      </c>
      <c r="CI26" s="131">
        <f t="shared" si="44"/>
        <v>0</v>
      </c>
      <c r="CJ26" s="131"/>
      <c r="CK26" s="136">
        <f t="shared" si="45"/>
        <v>0</v>
      </c>
      <c r="CL26" s="136">
        <f t="shared" si="46"/>
        <v>804.25411383551102</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0</v>
      </c>
      <c r="DC26" s="131">
        <f t="shared" si="13"/>
        <v>0</v>
      </c>
      <c r="DD26" s="131">
        <f t="shared" si="55"/>
        <v>0</v>
      </c>
      <c r="DE26" s="131">
        <f t="shared" si="56"/>
        <v>0</v>
      </c>
      <c r="DF26" s="131">
        <f t="shared" si="57"/>
        <v>0</v>
      </c>
      <c r="DG26" s="131">
        <f t="shared" si="58"/>
        <v>0</v>
      </c>
      <c r="DH26" s="131"/>
      <c r="DI26" s="131"/>
      <c r="DJ26" s="131"/>
      <c r="DK26" s="137">
        <f t="shared" si="99"/>
        <v>4620.5129979953599</v>
      </c>
      <c r="DL26" s="227" t="e">
        <f t="shared" si="59"/>
        <v>#REF!</v>
      </c>
      <c r="DM26" s="227" t="e">
        <f t="shared" si="60"/>
        <v>#REF!</v>
      </c>
      <c r="DN26" s="228" t="e">
        <f t="shared" si="14"/>
        <v>#REF!</v>
      </c>
      <c r="DO26" s="228">
        <f t="shared" si="61"/>
        <v>194.35242757490622</v>
      </c>
      <c r="DP26" s="228" t="e">
        <f t="shared" si="62"/>
        <v>#REF!</v>
      </c>
      <c r="DQ26" s="228" t="e">
        <f t="shared" si="63"/>
        <v>#REF!</v>
      </c>
    </row>
    <row r="27" spans="1:121">
      <c r="A27" s="132">
        <f t="shared" si="15"/>
        <v>17</v>
      </c>
      <c r="B27" s="18">
        <f t="shared" si="64"/>
        <v>17</v>
      </c>
      <c r="C27" s="18">
        <f>IF(A27=0," ",VLOOKUP(B27,'tosafot '!$A$7:$B$234,2,0))</f>
        <v>5.2008999999999999</v>
      </c>
      <c r="D27" s="220">
        <f t="shared" si="65"/>
        <v>228</v>
      </c>
      <c r="E27" s="130">
        <f t="shared" si="66"/>
        <v>12.2026</v>
      </c>
      <c r="F27" s="126">
        <f t="shared" si="67"/>
        <v>22</v>
      </c>
      <c r="G27" s="18" t="str">
        <f t="shared" si="68"/>
        <v>התחבורה</v>
      </c>
      <c r="H27" s="189">
        <f t="shared" si="69"/>
        <v>122</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36.75</v>
      </c>
      <c r="R27" s="128">
        <f t="shared" si="78"/>
        <v>148</v>
      </c>
      <c r="S27" s="130">
        <f t="shared" si="79"/>
        <v>1.4414995494685181</v>
      </c>
      <c r="T27" s="135">
        <f t="shared" si="16"/>
        <v>0</v>
      </c>
      <c r="U27" s="127">
        <f t="shared" si="17"/>
        <v>0</v>
      </c>
      <c r="V27" s="217">
        <v>0</v>
      </c>
      <c r="W27" s="191">
        <v>0</v>
      </c>
      <c r="X27" s="133">
        <v>0</v>
      </c>
      <c r="Y27" s="131">
        <f t="shared" si="18"/>
        <v>2438.5</v>
      </c>
      <c r="Z27" s="131">
        <f t="shared" si="19"/>
        <v>1076.5966513789815</v>
      </c>
      <c r="AA27" s="242">
        <f t="shared" si="20"/>
        <v>3515.0966513789817</v>
      </c>
      <c r="AB27" s="131">
        <f t="shared" si="21"/>
        <v>0</v>
      </c>
      <c r="AC27" s="131">
        <f t="shared" si="22"/>
        <v>140.60386605515927</v>
      </c>
      <c r="AD27" s="131">
        <f t="shared" si="23"/>
        <v>0</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160.55836672570746</v>
      </c>
      <c r="CC27" s="131">
        <f t="shared" si="41"/>
        <v>0</v>
      </c>
      <c r="CD27" s="136">
        <f t="shared" si="42"/>
        <v>0</v>
      </c>
      <c r="CE27" s="131">
        <f t="shared" si="102"/>
        <v>0</v>
      </c>
      <c r="CF27" s="136">
        <f t="shared" si="43"/>
        <v>0</v>
      </c>
      <c r="CG27" s="136"/>
      <c r="CH27" s="136">
        <f t="shared" si="101"/>
        <v>0</v>
      </c>
      <c r="CI27" s="131">
        <f t="shared" si="44"/>
        <v>0</v>
      </c>
      <c r="CJ27" s="131"/>
      <c r="CK27" s="136">
        <f t="shared" si="45"/>
        <v>0</v>
      </c>
      <c r="CL27" s="136">
        <f t="shared" si="46"/>
        <v>804.25411383551102</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0</v>
      </c>
      <c r="DC27" s="131">
        <f t="shared" si="13"/>
        <v>0</v>
      </c>
      <c r="DD27" s="131">
        <f t="shared" si="55"/>
        <v>0</v>
      </c>
      <c r="DE27" s="131">
        <f t="shared" si="56"/>
        <v>0</v>
      </c>
      <c r="DF27" s="131">
        <f t="shared" si="57"/>
        <v>0</v>
      </c>
      <c r="DG27" s="131">
        <f t="shared" si="58"/>
        <v>0</v>
      </c>
      <c r="DH27" s="131"/>
      <c r="DI27" s="131"/>
      <c r="DJ27" s="131"/>
      <c r="DK27" s="137">
        <f t="shared" si="99"/>
        <v>4620.5129979953599</v>
      </c>
      <c r="DL27" s="227" t="e">
        <f t="shared" si="59"/>
        <v>#REF!</v>
      </c>
      <c r="DM27" s="227" t="e">
        <f t="shared" si="60"/>
        <v>#REF!</v>
      </c>
      <c r="DN27" s="228" t="e">
        <f t="shared" si="14"/>
        <v>#REF!</v>
      </c>
      <c r="DO27" s="228">
        <f t="shared" si="61"/>
        <v>194.35242757490622</v>
      </c>
      <c r="DP27" s="228" t="e">
        <f t="shared" si="62"/>
        <v>#REF!</v>
      </c>
      <c r="DQ27" s="228" t="e">
        <f t="shared" si="63"/>
        <v>#REF!</v>
      </c>
    </row>
    <row r="28" spans="1:121">
      <c r="A28" s="132">
        <f t="shared" si="15"/>
        <v>18</v>
      </c>
      <c r="B28" s="18">
        <f t="shared" si="64"/>
        <v>18</v>
      </c>
      <c r="C28" s="18">
        <f>IF(A28=0," ",VLOOKUP(B28,'tosafot '!$A$7:$B$234,2,0))</f>
        <v>6.2008999999999999</v>
      </c>
      <c r="D28" s="220">
        <f t="shared" si="65"/>
        <v>228</v>
      </c>
      <c r="E28" s="130">
        <f t="shared" si="66"/>
        <v>12.2026</v>
      </c>
      <c r="F28" s="126">
        <f t="shared" si="67"/>
        <v>22</v>
      </c>
      <c r="G28" s="18" t="str">
        <f t="shared" si="68"/>
        <v>התחבורה</v>
      </c>
      <c r="H28" s="189">
        <f t="shared" si="69"/>
        <v>122</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36.75</v>
      </c>
      <c r="R28" s="128">
        <f t="shared" si="78"/>
        <v>148</v>
      </c>
      <c r="S28" s="130">
        <f t="shared" si="79"/>
        <v>1.4414995494685181</v>
      </c>
      <c r="T28" s="135">
        <f t="shared" si="16"/>
        <v>0</v>
      </c>
      <c r="U28" s="127">
        <f t="shared" si="17"/>
        <v>0</v>
      </c>
      <c r="V28" s="217">
        <v>0</v>
      </c>
      <c r="W28" s="191">
        <v>0</v>
      </c>
      <c r="X28" s="133">
        <v>0</v>
      </c>
      <c r="Y28" s="131">
        <f t="shared" si="18"/>
        <v>2438.5</v>
      </c>
      <c r="Z28" s="131">
        <f t="shared" si="19"/>
        <v>1076.5966513789815</v>
      </c>
      <c r="AA28" s="242">
        <f t="shared" si="20"/>
        <v>3515.0966513789817</v>
      </c>
      <c r="AB28" s="131">
        <f t="shared" si="21"/>
        <v>0</v>
      </c>
      <c r="AC28" s="131">
        <f t="shared" si="22"/>
        <v>140.60386605515927</v>
      </c>
      <c r="AD28" s="131">
        <f t="shared" si="23"/>
        <v>0</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160.55836672570746</v>
      </c>
      <c r="CC28" s="131">
        <f t="shared" si="41"/>
        <v>0</v>
      </c>
      <c r="CD28" s="136">
        <f t="shared" si="42"/>
        <v>0</v>
      </c>
      <c r="CE28" s="131">
        <f t="shared" si="102"/>
        <v>0</v>
      </c>
      <c r="CF28" s="136">
        <f t="shared" si="43"/>
        <v>0</v>
      </c>
      <c r="CG28" s="136"/>
      <c r="CH28" s="136">
        <f t="shared" si="101"/>
        <v>0</v>
      </c>
      <c r="CI28" s="131">
        <f t="shared" si="44"/>
        <v>0</v>
      </c>
      <c r="CJ28" s="131"/>
      <c r="CK28" s="136">
        <f t="shared" si="45"/>
        <v>0</v>
      </c>
      <c r="CL28" s="136">
        <f t="shared" si="46"/>
        <v>804.25411383551102</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0</v>
      </c>
      <c r="DC28" s="131">
        <f t="shared" si="13"/>
        <v>0</v>
      </c>
      <c r="DD28" s="131">
        <f t="shared" si="55"/>
        <v>0</v>
      </c>
      <c r="DE28" s="131">
        <f t="shared" si="56"/>
        <v>0</v>
      </c>
      <c r="DF28" s="131">
        <f t="shared" si="57"/>
        <v>0</v>
      </c>
      <c r="DG28" s="131">
        <f t="shared" si="58"/>
        <v>0</v>
      </c>
      <c r="DH28" s="131"/>
      <c r="DI28" s="131"/>
      <c r="DJ28" s="131"/>
      <c r="DK28" s="137">
        <f t="shared" si="99"/>
        <v>4620.5129979953599</v>
      </c>
      <c r="DL28" s="227" t="e">
        <f t="shared" si="59"/>
        <v>#REF!</v>
      </c>
      <c r="DM28" s="227" t="e">
        <f t="shared" si="60"/>
        <v>#REF!</v>
      </c>
      <c r="DN28" s="228" t="e">
        <f t="shared" si="14"/>
        <v>#REF!</v>
      </c>
      <c r="DO28" s="228">
        <f t="shared" si="61"/>
        <v>194.35242757490622</v>
      </c>
      <c r="DP28" s="228" t="e">
        <f t="shared" si="62"/>
        <v>#REF!</v>
      </c>
      <c r="DQ28" s="228" t="e">
        <f t="shared" si="63"/>
        <v>#REF!</v>
      </c>
    </row>
    <row r="29" spans="1:121">
      <c r="A29" s="132">
        <f t="shared" si="15"/>
        <v>19</v>
      </c>
      <c r="B29" s="18">
        <f t="shared" si="64"/>
        <v>19</v>
      </c>
      <c r="C29" s="18">
        <f>IF(A29=0," ",VLOOKUP(B29,'tosafot '!$A$7:$B$234,2,0))</f>
        <v>7.2008999999999999</v>
      </c>
      <c r="D29" s="220">
        <f t="shared" si="65"/>
        <v>228</v>
      </c>
      <c r="E29" s="130">
        <f t="shared" si="66"/>
        <v>12.2026</v>
      </c>
      <c r="F29" s="126">
        <f t="shared" si="67"/>
        <v>22</v>
      </c>
      <c r="G29" s="18" t="str">
        <f t="shared" si="68"/>
        <v>התחבורה</v>
      </c>
      <c r="H29" s="189">
        <f t="shared" si="69"/>
        <v>122</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36.75</v>
      </c>
      <c r="R29" s="128">
        <f t="shared" si="78"/>
        <v>148</v>
      </c>
      <c r="S29" s="130">
        <f t="shared" si="79"/>
        <v>1.4414995494685181</v>
      </c>
      <c r="T29" s="135">
        <f t="shared" si="16"/>
        <v>0</v>
      </c>
      <c r="U29" s="127">
        <f t="shared" si="17"/>
        <v>0</v>
      </c>
      <c r="V29" s="217">
        <v>0</v>
      </c>
      <c r="W29" s="191">
        <v>0</v>
      </c>
      <c r="X29" s="133">
        <v>0</v>
      </c>
      <c r="Y29" s="131">
        <f t="shared" si="18"/>
        <v>2438.5</v>
      </c>
      <c r="Z29" s="131">
        <f t="shared" si="19"/>
        <v>1076.5966513789815</v>
      </c>
      <c r="AA29" s="242">
        <f t="shared" si="20"/>
        <v>3515.0966513789817</v>
      </c>
      <c r="AB29" s="131">
        <f t="shared" si="21"/>
        <v>0</v>
      </c>
      <c r="AC29" s="131">
        <f t="shared" si="22"/>
        <v>140.60386605515927</v>
      </c>
      <c r="AD29" s="131">
        <f t="shared" si="23"/>
        <v>0</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160.55836672570746</v>
      </c>
      <c r="CC29" s="131">
        <f t="shared" si="41"/>
        <v>0</v>
      </c>
      <c r="CD29" s="136">
        <f t="shared" si="42"/>
        <v>0</v>
      </c>
      <c r="CE29" s="131">
        <f t="shared" si="102"/>
        <v>0</v>
      </c>
      <c r="CF29" s="136">
        <f t="shared" si="43"/>
        <v>0</v>
      </c>
      <c r="CG29" s="136"/>
      <c r="CH29" s="136">
        <f t="shared" si="101"/>
        <v>0</v>
      </c>
      <c r="CI29" s="131">
        <f t="shared" si="44"/>
        <v>0</v>
      </c>
      <c r="CJ29" s="131"/>
      <c r="CK29" s="136">
        <f t="shared" si="45"/>
        <v>0</v>
      </c>
      <c r="CL29" s="136">
        <f t="shared" si="46"/>
        <v>804.25411383551102</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0</v>
      </c>
      <c r="DC29" s="131">
        <f t="shared" si="13"/>
        <v>0</v>
      </c>
      <c r="DD29" s="131">
        <f t="shared" si="55"/>
        <v>0</v>
      </c>
      <c r="DE29" s="131">
        <f t="shared" si="56"/>
        <v>0</v>
      </c>
      <c r="DF29" s="131">
        <f t="shared" si="57"/>
        <v>0</v>
      </c>
      <c r="DG29" s="131">
        <f t="shared" si="58"/>
        <v>0</v>
      </c>
      <c r="DH29" s="131"/>
      <c r="DI29" s="131"/>
      <c r="DJ29" s="131"/>
      <c r="DK29" s="137">
        <f t="shared" si="99"/>
        <v>4620.5129979953599</v>
      </c>
      <c r="DL29" s="227" t="e">
        <f t="shared" si="59"/>
        <v>#REF!</v>
      </c>
      <c r="DM29" s="227" t="e">
        <f t="shared" si="60"/>
        <v>#REF!</v>
      </c>
      <c r="DN29" s="228" t="e">
        <f t="shared" si="14"/>
        <v>#REF!</v>
      </c>
      <c r="DO29" s="228">
        <f t="shared" si="61"/>
        <v>194.35242757490622</v>
      </c>
      <c r="DP29" s="228" t="e">
        <f t="shared" si="62"/>
        <v>#REF!</v>
      </c>
      <c r="DQ29" s="228" t="e">
        <f t="shared" si="63"/>
        <v>#REF!</v>
      </c>
    </row>
    <row r="30" spans="1:121">
      <c r="A30" s="132">
        <f t="shared" si="15"/>
        <v>20</v>
      </c>
      <c r="B30" s="18">
        <f t="shared" si="64"/>
        <v>20</v>
      </c>
      <c r="C30" s="18">
        <f>IF(A30=0," ",VLOOKUP(B30,'tosafot '!$A$7:$B$234,2,0))</f>
        <v>8.2009000000000007</v>
      </c>
      <c r="D30" s="220">
        <f t="shared" si="65"/>
        <v>228</v>
      </c>
      <c r="E30" s="130">
        <f t="shared" si="66"/>
        <v>12.2026</v>
      </c>
      <c r="F30" s="126">
        <f t="shared" si="67"/>
        <v>22</v>
      </c>
      <c r="G30" s="18" t="str">
        <f t="shared" si="68"/>
        <v>התחבורה</v>
      </c>
      <c r="H30" s="189">
        <f t="shared" si="69"/>
        <v>122</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36.75</v>
      </c>
      <c r="R30" s="128">
        <f t="shared" si="78"/>
        <v>148</v>
      </c>
      <c r="S30" s="130">
        <f t="shared" si="79"/>
        <v>1.4414995494685181</v>
      </c>
      <c r="T30" s="135">
        <f t="shared" si="16"/>
        <v>0</v>
      </c>
      <c r="U30" s="127">
        <f t="shared" si="17"/>
        <v>0</v>
      </c>
      <c r="V30" s="217">
        <v>0</v>
      </c>
      <c r="W30" s="191">
        <v>0</v>
      </c>
      <c r="X30" s="133">
        <v>0</v>
      </c>
      <c r="Y30" s="131">
        <f t="shared" si="18"/>
        <v>2438.5</v>
      </c>
      <c r="Z30" s="131">
        <f t="shared" si="19"/>
        <v>1076.5966513789815</v>
      </c>
      <c r="AA30" s="242">
        <f t="shared" si="20"/>
        <v>3515.0966513789817</v>
      </c>
      <c r="AB30" s="131">
        <f t="shared" si="21"/>
        <v>0</v>
      </c>
      <c r="AC30" s="131">
        <f t="shared" si="22"/>
        <v>140.60386605515927</v>
      </c>
      <c r="AD30" s="131">
        <f t="shared" si="23"/>
        <v>0</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160.55836672570746</v>
      </c>
      <c r="CC30" s="131">
        <f t="shared" si="41"/>
        <v>0</v>
      </c>
      <c r="CD30" s="136">
        <f t="shared" si="42"/>
        <v>0</v>
      </c>
      <c r="CE30" s="131">
        <f t="shared" si="102"/>
        <v>0</v>
      </c>
      <c r="CF30" s="136">
        <f t="shared" si="43"/>
        <v>0</v>
      </c>
      <c r="CG30" s="136"/>
      <c r="CH30" s="136">
        <f t="shared" si="101"/>
        <v>0</v>
      </c>
      <c r="CI30" s="131">
        <f t="shared" si="44"/>
        <v>0</v>
      </c>
      <c r="CJ30" s="131"/>
      <c r="CK30" s="136">
        <f t="shared" si="45"/>
        <v>0</v>
      </c>
      <c r="CL30" s="136">
        <f t="shared" si="46"/>
        <v>804.25411383551102</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0</v>
      </c>
      <c r="DC30" s="131">
        <f t="shared" si="13"/>
        <v>0</v>
      </c>
      <c r="DD30" s="131">
        <f t="shared" si="55"/>
        <v>0</v>
      </c>
      <c r="DE30" s="131">
        <f t="shared" si="56"/>
        <v>0</v>
      </c>
      <c r="DF30" s="131">
        <f t="shared" si="57"/>
        <v>0</v>
      </c>
      <c r="DG30" s="131">
        <f t="shared" si="58"/>
        <v>0</v>
      </c>
      <c r="DH30" s="131"/>
      <c r="DI30" s="131"/>
      <c r="DJ30" s="131"/>
      <c r="DK30" s="137">
        <f t="shared" si="99"/>
        <v>4620.5129979953599</v>
      </c>
      <c r="DL30" s="227" t="e">
        <f t="shared" si="59"/>
        <v>#REF!</v>
      </c>
      <c r="DM30" s="227" t="e">
        <f t="shared" si="60"/>
        <v>#REF!</v>
      </c>
      <c r="DN30" s="228" t="e">
        <f t="shared" si="14"/>
        <v>#REF!</v>
      </c>
      <c r="DO30" s="228">
        <f t="shared" si="61"/>
        <v>194.35242757490622</v>
      </c>
      <c r="DP30" s="228" t="e">
        <f t="shared" si="62"/>
        <v>#REF!</v>
      </c>
      <c r="DQ30" s="228" t="e">
        <f t="shared" si="63"/>
        <v>#REF!</v>
      </c>
    </row>
    <row r="31" spans="1:121">
      <c r="A31" s="132">
        <f t="shared" si="15"/>
        <v>21</v>
      </c>
      <c r="B31" s="18">
        <f t="shared" si="64"/>
        <v>21</v>
      </c>
      <c r="C31" s="18">
        <f>IF(A31=0," ",VLOOKUP(B31,'tosafot '!$A$7:$B$234,2,0))</f>
        <v>9.2009000000000007</v>
      </c>
      <c r="D31" s="220">
        <f t="shared" si="65"/>
        <v>228</v>
      </c>
      <c r="E31" s="130">
        <f t="shared" si="66"/>
        <v>12.2026</v>
      </c>
      <c r="F31" s="126">
        <f t="shared" si="67"/>
        <v>22</v>
      </c>
      <c r="G31" s="18" t="str">
        <f t="shared" si="68"/>
        <v>התחבורה</v>
      </c>
      <c r="H31" s="189">
        <f t="shared" si="69"/>
        <v>122</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36.75</v>
      </c>
      <c r="R31" s="128">
        <f t="shared" si="78"/>
        <v>148</v>
      </c>
      <c r="S31" s="130">
        <f t="shared" si="79"/>
        <v>1.4414995494685181</v>
      </c>
      <c r="T31" s="135">
        <f t="shared" si="16"/>
        <v>0</v>
      </c>
      <c r="U31" s="127">
        <f t="shared" si="17"/>
        <v>0</v>
      </c>
      <c r="V31" s="217">
        <v>0</v>
      </c>
      <c r="W31" s="191">
        <v>0</v>
      </c>
      <c r="X31" s="133">
        <v>0</v>
      </c>
      <c r="Y31" s="131">
        <f t="shared" si="18"/>
        <v>2438.5</v>
      </c>
      <c r="Z31" s="131">
        <f t="shared" si="19"/>
        <v>1076.5966513789815</v>
      </c>
      <c r="AA31" s="242">
        <f t="shared" si="20"/>
        <v>3515.0966513789817</v>
      </c>
      <c r="AB31" s="131">
        <f t="shared" si="21"/>
        <v>0</v>
      </c>
      <c r="AC31" s="131">
        <f t="shared" si="22"/>
        <v>140.60386605515927</v>
      </c>
      <c r="AD31" s="131">
        <f t="shared" si="23"/>
        <v>0</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160.55836672570746</v>
      </c>
      <c r="CC31" s="131">
        <f t="shared" si="41"/>
        <v>0</v>
      </c>
      <c r="CD31" s="136">
        <f t="shared" si="42"/>
        <v>0</v>
      </c>
      <c r="CE31" s="131">
        <f t="shared" si="102"/>
        <v>0</v>
      </c>
      <c r="CF31" s="136">
        <f t="shared" si="43"/>
        <v>0</v>
      </c>
      <c r="CG31" s="136"/>
      <c r="CH31" s="136">
        <f t="shared" si="101"/>
        <v>0</v>
      </c>
      <c r="CI31" s="131">
        <f t="shared" si="44"/>
        <v>0</v>
      </c>
      <c r="CJ31" s="131"/>
      <c r="CK31" s="136">
        <f t="shared" si="45"/>
        <v>0</v>
      </c>
      <c r="CL31" s="136">
        <f t="shared" si="46"/>
        <v>804.25411383551102</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0</v>
      </c>
      <c r="DC31" s="131">
        <f t="shared" si="13"/>
        <v>0</v>
      </c>
      <c r="DD31" s="131">
        <f t="shared" si="55"/>
        <v>0</v>
      </c>
      <c r="DE31" s="131">
        <f t="shared" si="56"/>
        <v>0</v>
      </c>
      <c r="DF31" s="131">
        <f t="shared" si="57"/>
        <v>0</v>
      </c>
      <c r="DG31" s="131">
        <f t="shared" si="58"/>
        <v>0</v>
      </c>
      <c r="DH31" s="131"/>
      <c r="DI31" s="131"/>
      <c r="DJ31" s="131"/>
      <c r="DK31" s="137">
        <f t="shared" si="99"/>
        <v>4620.5129979953599</v>
      </c>
      <c r="DL31" s="227" t="e">
        <f t="shared" si="59"/>
        <v>#REF!</v>
      </c>
      <c r="DM31" s="227" t="e">
        <f t="shared" si="60"/>
        <v>#REF!</v>
      </c>
      <c r="DN31" s="228" t="e">
        <f t="shared" si="14"/>
        <v>#REF!</v>
      </c>
      <c r="DO31" s="228">
        <f t="shared" si="61"/>
        <v>194.35242757490622</v>
      </c>
      <c r="DP31" s="228" t="e">
        <f t="shared" si="62"/>
        <v>#REF!</v>
      </c>
      <c r="DQ31" s="228" t="e">
        <f t="shared" si="63"/>
        <v>#REF!</v>
      </c>
    </row>
    <row r="32" spans="1:121">
      <c r="A32" s="132">
        <f t="shared" si="15"/>
        <v>22</v>
      </c>
      <c r="B32" s="18">
        <f t="shared" si="64"/>
        <v>22</v>
      </c>
      <c r="C32" s="18">
        <f>IF(A32=0," ",VLOOKUP(B32,'tosafot '!$A$7:$B$234,2,0))</f>
        <v>10.200900000000001</v>
      </c>
      <c r="D32" s="220">
        <f t="shared" si="65"/>
        <v>228</v>
      </c>
      <c r="E32" s="130">
        <f t="shared" si="66"/>
        <v>12.2026</v>
      </c>
      <c r="F32" s="126">
        <f t="shared" si="67"/>
        <v>22</v>
      </c>
      <c r="G32" s="18" t="str">
        <f t="shared" si="68"/>
        <v>התחבורה</v>
      </c>
      <c r="H32" s="189">
        <f t="shared" si="69"/>
        <v>122</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36.75</v>
      </c>
      <c r="R32" s="128">
        <f t="shared" si="78"/>
        <v>148</v>
      </c>
      <c r="S32" s="130">
        <f t="shared" si="79"/>
        <v>1.4414995494685181</v>
      </c>
      <c r="T32" s="135">
        <f t="shared" si="16"/>
        <v>0</v>
      </c>
      <c r="U32" s="127">
        <f t="shared" si="17"/>
        <v>0</v>
      </c>
      <c r="V32" s="217">
        <v>0</v>
      </c>
      <c r="W32" s="191">
        <v>0</v>
      </c>
      <c r="X32" s="133">
        <v>0</v>
      </c>
      <c r="Y32" s="131">
        <f t="shared" si="18"/>
        <v>2438.5</v>
      </c>
      <c r="Z32" s="131">
        <f t="shared" si="19"/>
        <v>1076.5966513789815</v>
      </c>
      <c r="AA32" s="242">
        <f t="shared" si="20"/>
        <v>3515.0966513789817</v>
      </c>
      <c r="AB32" s="131">
        <f t="shared" si="21"/>
        <v>0</v>
      </c>
      <c r="AC32" s="131">
        <f t="shared" si="22"/>
        <v>140.60386605515927</v>
      </c>
      <c r="AD32" s="131">
        <f t="shared" si="23"/>
        <v>0</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160.55836672570746</v>
      </c>
      <c r="CC32" s="131">
        <f t="shared" si="41"/>
        <v>0</v>
      </c>
      <c r="CD32" s="136">
        <f t="shared" si="42"/>
        <v>0</v>
      </c>
      <c r="CE32" s="131">
        <f t="shared" si="102"/>
        <v>0</v>
      </c>
      <c r="CF32" s="136">
        <f t="shared" si="43"/>
        <v>0</v>
      </c>
      <c r="CG32" s="136"/>
      <c r="CH32" s="136">
        <f t="shared" si="101"/>
        <v>0</v>
      </c>
      <c r="CI32" s="131">
        <f t="shared" si="44"/>
        <v>0</v>
      </c>
      <c r="CJ32" s="131"/>
      <c r="CK32" s="136">
        <f t="shared" si="45"/>
        <v>0</v>
      </c>
      <c r="CL32" s="136">
        <f t="shared" si="46"/>
        <v>804.25411383551102</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0</v>
      </c>
      <c r="DC32" s="131">
        <f t="shared" si="13"/>
        <v>0</v>
      </c>
      <c r="DD32" s="131">
        <f t="shared" si="55"/>
        <v>0</v>
      </c>
      <c r="DE32" s="131">
        <f t="shared" si="56"/>
        <v>0</v>
      </c>
      <c r="DF32" s="131">
        <f t="shared" si="57"/>
        <v>0</v>
      </c>
      <c r="DG32" s="131">
        <f t="shared" si="58"/>
        <v>0</v>
      </c>
      <c r="DH32" s="131"/>
      <c r="DI32" s="131"/>
      <c r="DJ32" s="131"/>
      <c r="DK32" s="137">
        <f t="shared" si="99"/>
        <v>4620.5129979953599</v>
      </c>
      <c r="DL32" s="227" t="e">
        <f t="shared" si="59"/>
        <v>#REF!</v>
      </c>
      <c r="DM32" s="227" t="e">
        <f t="shared" si="60"/>
        <v>#REF!</v>
      </c>
      <c r="DN32" s="228" t="e">
        <f t="shared" si="14"/>
        <v>#REF!</v>
      </c>
      <c r="DO32" s="228">
        <f t="shared" si="61"/>
        <v>194.35242757490622</v>
      </c>
      <c r="DP32" s="228" t="e">
        <f t="shared" si="62"/>
        <v>#REF!</v>
      </c>
      <c r="DQ32" s="228" t="e">
        <f t="shared" si="63"/>
        <v>#REF!</v>
      </c>
    </row>
    <row r="33" spans="1:121">
      <c r="A33" s="132">
        <f t="shared" si="15"/>
        <v>23</v>
      </c>
      <c r="B33" s="18">
        <f t="shared" si="64"/>
        <v>23</v>
      </c>
      <c r="C33" s="18">
        <f>IF(A33=0," ",VLOOKUP(B33,'tosafot '!$A$7:$B$234,2,0))</f>
        <v>11.200900000000001</v>
      </c>
      <c r="D33" s="220">
        <f t="shared" si="65"/>
        <v>228</v>
      </c>
      <c r="E33" s="130">
        <f t="shared" si="66"/>
        <v>12.2026</v>
      </c>
      <c r="F33" s="126">
        <f t="shared" si="67"/>
        <v>22</v>
      </c>
      <c r="G33" s="18" t="str">
        <f t="shared" si="68"/>
        <v>התחבורה</v>
      </c>
      <c r="H33" s="189">
        <f t="shared" si="69"/>
        <v>122</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36.75</v>
      </c>
      <c r="R33" s="128">
        <f t="shared" si="78"/>
        <v>148</v>
      </c>
      <c r="S33" s="130">
        <f t="shared" si="79"/>
        <v>1.4414995494685181</v>
      </c>
      <c r="T33" s="135">
        <f t="shared" si="16"/>
        <v>0</v>
      </c>
      <c r="U33" s="127">
        <f t="shared" si="17"/>
        <v>0</v>
      </c>
      <c r="V33" s="217">
        <v>0</v>
      </c>
      <c r="W33" s="191">
        <v>0</v>
      </c>
      <c r="X33" s="133">
        <v>0</v>
      </c>
      <c r="Y33" s="131">
        <f t="shared" si="18"/>
        <v>2438.5</v>
      </c>
      <c r="Z33" s="131">
        <f t="shared" si="19"/>
        <v>1076.5966513789815</v>
      </c>
      <c r="AA33" s="242">
        <f t="shared" si="20"/>
        <v>3515.0966513789817</v>
      </c>
      <c r="AB33" s="131">
        <f t="shared" si="21"/>
        <v>0</v>
      </c>
      <c r="AC33" s="131">
        <f t="shared" si="22"/>
        <v>140.60386605515927</v>
      </c>
      <c r="AD33" s="131">
        <f t="shared" si="23"/>
        <v>0</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160.55836672570746</v>
      </c>
      <c r="CC33" s="131">
        <f t="shared" si="41"/>
        <v>0</v>
      </c>
      <c r="CD33" s="136">
        <f t="shared" si="42"/>
        <v>0</v>
      </c>
      <c r="CE33" s="131">
        <f t="shared" si="102"/>
        <v>0</v>
      </c>
      <c r="CF33" s="136">
        <f t="shared" si="43"/>
        <v>0</v>
      </c>
      <c r="CG33" s="136"/>
      <c r="CH33" s="136">
        <f t="shared" si="101"/>
        <v>0</v>
      </c>
      <c r="CI33" s="131">
        <f t="shared" si="44"/>
        <v>0</v>
      </c>
      <c r="CJ33" s="131"/>
      <c r="CK33" s="136">
        <f t="shared" si="45"/>
        <v>0</v>
      </c>
      <c r="CL33" s="136">
        <f t="shared" si="46"/>
        <v>804.25411383551102</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0</v>
      </c>
      <c r="DC33" s="131">
        <f t="shared" si="13"/>
        <v>0</v>
      </c>
      <c r="DD33" s="131">
        <f t="shared" si="55"/>
        <v>0</v>
      </c>
      <c r="DE33" s="131">
        <f t="shared" si="56"/>
        <v>0</v>
      </c>
      <c r="DF33" s="131">
        <f t="shared" si="57"/>
        <v>0</v>
      </c>
      <c r="DG33" s="131">
        <f t="shared" si="58"/>
        <v>0</v>
      </c>
      <c r="DH33" s="131"/>
      <c r="DI33" s="131"/>
      <c r="DJ33" s="131"/>
      <c r="DK33" s="137">
        <f t="shared" si="99"/>
        <v>4620.5129979953599</v>
      </c>
      <c r="DL33" s="227" t="e">
        <f t="shared" si="59"/>
        <v>#REF!</v>
      </c>
      <c r="DM33" s="227" t="e">
        <f t="shared" si="60"/>
        <v>#REF!</v>
      </c>
      <c r="DN33" s="228" t="e">
        <f t="shared" si="14"/>
        <v>#REF!</v>
      </c>
      <c r="DO33" s="228">
        <f t="shared" si="61"/>
        <v>194.35242757490622</v>
      </c>
      <c r="DP33" s="228" t="e">
        <f t="shared" si="62"/>
        <v>#REF!</v>
      </c>
      <c r="DQ33" s="228" t="e">
        <f t="shared" si="63"/>
        <v>#REF!</v>
      </c>
    </row>
    <row r="34" spans="1:121">
      <c r="A34" s="132">
        <f t="shared" si="15"/>
        <v>24</v>
      </c>
      <c r="B34" s="18">
        <f t="shared" si="64"/>
        <v>24</v>
      </c>
      <c r="C34" s="18">
        <f>IF(A34=0," ",VLOOKUP(B34,'tosafot '!$A$7:$B$234,2,0))</f>
        <v>12.200900000000001</v>
      </c>
      <c r="D34" s="220">
        <f t="shared" si="65"/>
        <v>228</v>
      </c>
      <c r="E34" s="130">
        <f t="shared" si="66"/>
        <v>12.2026</v>
      </c>
      <c r="F34" s="126">
        <f t="shared" si="67"/>
        <v>22</v>
      </c>
      <c r="G34" s="18" t="str">
        <f t="shared" si="68"/>
        <v>התחבורה</v>
      </c>
      <c r="H34" s="189">
        <f t="shared" si="69"/>
        <v>122</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36.75</v>
      </c>
      <c r="R34" s="128">
        <f t="shared" si="78"/>
        <v>148</v>
      </c>
      <c r="S34" s="130">
        <f t="shared" si="79"/>
        <v>1.4414995494685181</v>
      </c>
      <c r="T34" s="135">
        <f t="shared" si="16"/>
        <v>0</v>
      </c>
      <c r="U34" s="127">
        <f t="shared" si="17"/>
        <v>0</v>
      </c>
      <c r="V34" s="217">
        <v>0</v>
      </c>
      <c r="W34" s="191">
        <v>0</v>
      </c>
      <c r="X34" s="133">
        <v>0</v>
      </c>
      <c r="Y34" s="131">
        <f t="shared" si="18"/>
        <v>2438.5</v>
      </c>
      <c r="Z34" s="131">
        <f t="shared" si="19"/>
        <v>1076.5966513789815</v>
      </c>
      <c r="AA34" s="242">
        <f t="shared" si="20"/>
        <v>3515.0966513789817</v>
      </c>
      <c r="AB34" s="131">
        <f t="shared" si="21"/>
        <v>0</v>
      </c>
      <c r="AC34" s="131">
        <f t="shared" si="22"/>
        <v>140.60386605515927</v>
      </c>
      <c r="AD34" s="131">
        <f t="shared" si="23"/>
        <v>0</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160.55836672570746</v>
      </c>
      <c r="CC34" s="131">
        <f t="shared" si="41"/>
        <v>0</v>
      </c>
      <c r="CD34" s="136">
        <f t="shared" si="42"/>
        <v>0</v>
      </c>
      <c r="CE34" s="131">
        <f t="shared" si="102"/>
        <v>0</v>
      </c>
      <c r="CF34" s="136">
        <f t="shared" si="43"/>
        <v>0</v>
      </c>
      <c r="CG34" s="136"/>
      <c r="CH34" s="136">
        <f t="shared" si="101"/>
        <v>0</v>
      </c>
      <c r="CI34" s="131">
        <f t="shared" si="44"/>
        <v>0</v>
      </c>
      <c r="CJ34" s="131"/>
      <c r="CK34" s="136">
        <f t="shared" si="45"/>
        <v>0</v>
      </c>
      <c r="CL34" s="136">
        <f t="shared" si="46"/>
        <v>804.25411383551102</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0</v>
      </c>
      <c r="DC34" s="131">
        <f t="shared" si="13"/>
        <v>0</v>
      </c>
      <c r="DD34" s="131">
        <f t="shared" si="55"/>
        <v>0</v>
      </c>
      <c r="DE34" s="131">
        <f t="shared" si="56"/>
        <v>0</v>
      </c>
      <c r="DF34" s="131">
        <f t="shared" si="57"/>
        <v>0</v>
      </c>
      <c r="DG34" s="131">
        <f t="shared" si="58"/>
        <v>0</v>
      </c>
      <c r="DH34" s="131"/>
      <c r="DI34" s="131"/>
      <c r="DJ34" s="131"/>
      <c r="DK34" s="137">
        <f t="shared" si="99"/>
        <v>4620.5129979953599</v>
      </c>
      <c r="DL34" s="227" t="e">
        <f t="shared" si="59"/>
        <v>#REF!</v>
      </c>
      <c r="DM34" s="227" t="e">
        <f t="shared" si="60"/>
        <v>#REF!</v>
      </c>
      <c r="DN34" s="228" t="e">
        <f t="shared" si="14"/>
        <v>#REF!</v>
      </c>
      <c r="DO34" s="228">
        <f t="shared" si="61"/>
        <v>194.35242757490622</v>
      </c>
      <c r="DP34" s="228" t="e">
        <f t="shared" si="62"/>
        <v>#REF!</v>
      </c>
      <c r="DQ34" s="228" t="e">
        <f t="shared" si="63"/>
        <v>#REF!</v>
      </c>
    </row>
    <row r="35" spans="1:121">
      <c r="A35" s="132">
        <f t="shared" si="15"/>
        <v>25</v>
      </c>
      <c r="B35" s="18">
        <f t="shared" si="64"/>
        <v>25</v>
      </c>
      <c r="C35" s="18">
        <f>IF(A35=0," ",VLOOKUP(B35,'tosafot '!$A$7:$B$234,2,0))</f>
        <v>1.2010000000000001</v>
      </c>
      <c r="D35" s="220">
        <f t="shared" si="65"/>
        <v>228</v>
      </c>
      <c r="E35" s="130">
        <f t="shared" si="66"/>
        <v>12.2026</v>
      </c>
      <c r="F35" s="126">
        <f t="shared" si="67"/>
        <v>22</v>
      </c>
      <c r="G35" s="18" t="str">
        <f t="shared" si="68"/>
        <v>התחבורה</v>
      </c>
      <c r="H35" s="189">
        <f t="shared" si="69"/>
        <v>122</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36.75</v>
      </c>
      <c r="R35" s="128">
        <f t="shared" si="78"/>
        <v>148</v>
      </c>
      <c r="S35" s="130">
        <f t="shared" si="79"/>
        <v>1.4414995494685181</v>
      </c>
      <c r="T35" s="135">
        <f t="shared" si="16"/>
        <v>0</v>
      </c>
      <c r="U35" s="127">
        <f t="shared" si="17"/>
        <v>0</v>
      </c>
      <c r="V35" s="217">
        <v>0</v>
      </c>
      <c r="W35" s="191">
        <v>0</v>
      </c>
      <c r="X35" s="133">
        <v>0</v>
      </c>
      <c r="Y35" s="131">
        <f t="shared" si="18"/>
        <v>2438.5</v>
      </c>
      <c r="Z35" s="131">
        <f t="shared" si="19"/>
        <v>1076.5966513789815</v>
      </c>
      <c r="AA35" s="242">
        <f t="shared" si="20"/>
        <v>3515.0966513789817</v>
      </c>
      <c r="AB35" s="131">
        <f t="shared" si="21"/>
        <v>0</v>
      </c>
      <c r="AC35" s="131">
        <f t="shared" si="22"/>
        <v>140.60386605515927</v>
      </c>
      <c r="AD35" s="131">
        <f t="shared" si="23"/>
        <v>0</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160.55836672570746</v>
      </c>
      <c r="CC35" s="131">
        <f t="shared" si="41"/>
        <v>0</v>
      </c>
      <c r="CD35" s="136">
        <f t="shared" si="42"/>
        <v>0</v>
      </c>
      <c r="CE35" s="131">
        <f t="shared" si="102"/>
        <v>0</v>
      </c>
      <c r="CF35" s="136">
        <f t="shared" si="43"/>
        <v>0</v>
      </c>
      <c r="CG35" s="136"/>
      <c r="CH35" s="136">
        <f t="shared" si="101"/>
        <v>0</v>
      </c>
      <c r="CI35" s="131">
        <f t="shared" si="44"/>
        <v>0</v>
      </c>
      <c r="CJ35" s="131"/>
      <c r="CK35" s="136">
        <f t="shared" si="45"/>
        <v>0</v>
      </c>
      <c r="CL35" s="136">
        <f t="shared" si="46"/>
        <v>804.25411383551102</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0</v>
      </c>
      <c r="DC35" s="131">
        <f t="shared" si="13"/>
        <v>0</v>
      </c>
      <c r="DD35" s="131">
        <f t="shared" si="55"/>
        <v>0</v>
      </c>
      <c r="DE35" s="131">
        <f t="shared" si="56"/>
        <v>0</v>
      </c>
      <c r="DF35" s="131">
        <f t="shared" si="57"/>
        <v>0</v>
      </c>
      <c r="DG35" s="131">
        <f t="shared" si="58"/>
        <v>0</v>
      </c>
      <c r="DH35" s="131"/>
      <c r="DI35" s="131"/>
      <c r="DJ35" s="131"/>
      <c r="DK35" s="137">
        <f t="shared" si="99"/>
        <v>4620.5129979953599</v>
      </c>
      <c r="DL35" s="227" t="e">
        <f t="shared" si="59"/>
        <v>#REF!</v>
      </c>
      <c r="DM35" s="227" t="e">
        <f t="shared" si="60"/>
        <v>#REF!</v>
      </c>
      <c r="DN35" s="228" t="e">
        <f t="shared" si="14"/>
        <v>#REF!</v>
      </c>
      <c r="DO35" s="228">
        <f t="shared" si="61"/>
        <v>194.35242757490622</v>
      </c>
      <c r="DP35" s="228" t="e">
        <f t="shared" si="62"/>
        <v>#REF!</v>
      </c>
      <c r="DQ35" s="228" t="e">
        <f t="shared" si="63"/>
        <v>#REF!</v>
      </c>
    </row>
    <row r="36" spans="1:121">
      <c r="A36" s="132">
        <f t="shared" si="15"/>
        <v>26</v>
      </c>
      <c r="B36" s="18">
        <f t="shared" si="64"/>
        <v>26</v>
      </c>
      <c r="C36" s="18">
        <f>IF(A36=0," ",VLOOKUP(B36,'tosafot '!$A$7:$B$234,2,0))</f>
        <v>2.2010000000000001</v>
      </c>
      <c r="D36" s="220">
        <f t="shared" si="65"/>
        <v>228</v>
      </c>
      <c r="E36" s="130">
        <f t="shared" si="66"/>
        <v>12.2026</v>
      </c>
      <c r="F36" s="126">
        <f t="shared" si="67"/>
        <v>22</v>
      </c>
      <c r="G36" s="18" t="str">
        <f t="shared" si="68"/>
        <v>התחבורה</v>
      </c>
      <c r="H36" s="189">
        <f t="shared" si="69"/>
        <v>122</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36.75</v>
      </c>
      <c r="R36" s="128">
        <f t="shared" si="78"/>
        <v>148</v>
      </c>
      <c r="S36" s="130">
        <f t="shared" si="79"/>
        <v>1.4414995494685181</v>
      </c>
      <c r="T36" s="135">
        <f t="shared" si="16"/>
        <v>0</v>
      </c>
      <c r="U36" s="127">
        <f t="shared" si="17"/>
        <v>0</v>
      </c>
      <c r="V36" s="217">
        <v>0</v>
      </c>
      <c r="W36" s="191">
        <v>0</v>
      </c>
      <c r="X36" s="133">
        <v>0</v>
      </c>
      <c r="Y36" s="131">
        <f t="shared" si="18"/>
        <v>2438.5</v>
      </c>
      <c r="Z36" s="131">
        <f t="shared" si="19"/>
        <v>1076.5966513789815</v>
      </c>
      <c r="AA36" s="242">
        <f t="shared" si="20"/>
        <v>3515.0966513789817</v>
      </c>
      <c r="AB36" s="131">
        <f t="shared" si="21"/>
        <v>0</v>
      </c>
      <c r="AC36" s="131">
        <f t="shared" si="22"/>
        <v>140.60386605515927</v>
      </c>
      <c r="AD36" s="131">
        <f t="shared" si="23"/>
        <v>0</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160.55836672570746</v>
      </c>
      <c r="CC36" s="131">
        <f t="shared" si="41"/>
        <v>0</v>
      </c>
      <c r="CD36" s="136">
        <f t="shared" si="42"/>
        <v>0</v>
      </c>
      <c r="CE36" s="131">
        <f t="shared" si="102"/>
        <v>0</v>
      </c>
      <c r="CF36" s="136">
        <f t="shared" si="43"/>
        <v>0</v>
      </c>
      <c r="CG36" s="136"/>
      <c r="CH36" s="136">
        <f t="shared" si="101"/>
        <v>0</v>
      </c>
      <c r="CI36" s="131">
        <f t="shared" si="44"/>
        <v>0</v>
      </c>
      <c r="CJ36" s="131"/>
      <c r="CK36" s="136">
        <f t="shared" si="45"/>
        <v>0</v>
      </c>
      <c r="CL36" s="136">
        <f t="shared" si="46"/>
        <v>804.25411383551102</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0</v>
      </c>
      <c r="DC36" s="131">
        <f t="shared" si="13"/>
        <v>0</v>
      </c>
      <c r="DD36" s="131">
        <f t="shared" si="55"/>
        <v>0</v>
      </c>
      <c r="DE36" s="131">
        <f t="shared" si="56"/>
        <v>0</v>
      </c>
      <c r="DF36" s="131">
        <f t="shared" si="57"/>
        <v>0</v>
      </c>
      <c r="DG36" s="131">
        <f t="shared" si="58"/>
        <v>0</v>
      </c>
      <c r="DH36" s="131"/>
      <c r="DI36" s="131"/>
      <c r="DJ36" s="131"/>
      <c r="DK36" s="137">
        <f t="shared" si="99"/>
        <v>4620.5129979953599</v>
      </c>
      <c r="DL36" s="227" t="e">
        <f t="shared" si="59"/>
        <v>#REF!</v>
      </c>
      <c r="DM36" s="227" t="e">
        <f t="shared" si="60"/>
        <v>#REF!</v>
      </c>
      <c r="DN36" s="228" t="e">
        <f t="shared" si="14"/>
        <v>#REF!</v>
      </c>
      <c r="DO36" s="228">
        <f t="shared" si="61"/>
        <v>194.35242757490622</v>
      </c>
      <c r="DP36" s="228" t="e">
        <f t="shared" si="62"/>
        <v>#REF!</v>
      </c>
      <c r="DQ36" s="228" t="e">
        <f t="shared" si="63"/>
        <v>#REF!</v>
      </c>
    </row>
    <row r="37" spans="1:121">
      <c r="A37" s="132">
        <f t="shared" si="15"/>
        <v>27</v>
      </c>
      <c r="B37" s="18">
        <f t="shared" si="64"/>
        <v>27</v>
      </c>
      <c r="C37" s="18">
        <f>IF(A37=0," ",VLOOKUP(B37,'tosafot '!$A$7:$B$234,2,0))</f>
        <v>3.2010000000000001</v>
      </c>
      <c r="D37" s="220">
        <f t="shared" si="65"/>
        <v>228</v>
      </c>
      <c r="E37" s="130">
        <f t="shared" si="66"/>
        <v>12.2026</v>
      </c>
      <c r="F37" s="126">
        <f t="shared" si="67"/>
        <v>22</v>
      </c>
      <c r="G37" s="18" t="str">
        <f t="shared" si="68"/>
        <v>התחבורה</v>
      </c>
      <c r="H37" s="189">
        <f t="shared" si="69"/>
        <v>122</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36.75</v>
      </c>
      <c r="R37" s="128">
        <f t="shared" si="78"/>
        <v>148</v>
      </c>
      <c r="S37" s="130">
        <f t="shared" si="79"/>
        <v>1.4414995494685181</v>
      </c>
      <c r="T37" s="135">
        <f t="shared" si="16"/>
        <v>0</v>
      </c>
      <c r="U37" s="127">
        <f t="shared" si="17"/>
        <v>0</v>
      </c>
      <c r="V37" s="217">
        <v>0</v>
      </c>
      <c r="W37" s="191">
        <v>0</v>
      </c>
      <c r="X37" s="133">
        <v>0</v>
      </c>
      <c r="Y37" s="131">
        <f t="shared" si="18"/>
        <v>2438.5</v>
      </c>
      <c r="Z37" s="131">
        <f t="shared" si="19"/>
        <v>1076.5966513789815</v>
      </c>
      <c r="AA37" s="242">
        <f t="shared" si="20"/>
        <v>3515.0966513789817</v>
      </c>
      <c r="AB37" s="131">
        <f t="shared" si="21"/>
        <v>0</v>
      </c>
      <c r="AC37" s="131">
        <f t="shared" si="22"/>
        <v>140.60386605515927</v>
      </c>
      <c r="AD37" s="131">
        <f t="shared" si="23"/>
        <v>0</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160.55836672570746</v>
      </c>
      <c r="CC37" s="131">
        <f t="shared" si="41"/>
        <v>0</v>
      </c>
      <c r="CD37" s="136">
        <f t="shared" si="42"/>
        <v>0</v>
      </c>
      <c r="CE37" s="131">
        <f t="shared" si="102"/>
        <v>0</v>
      </c>
      <c r="CF37" s="136">
        <f t="shared" si="43"/>
        <v>0</v>
      </c>
      <c r="CG37" s="136"/>
      <c r="CH37" s="136">
        <f t="shared" si="101"/>
        <v>0</v>
      </c>
      <c r="CI37" s="131">
        <f t="shared" si="44"/>
        <v>0</v>
      </c>
      <c r="CJ37" s="131"/>
      <c r="CK37" s="136">
        <f t="shared" si="45"/>
        <v>0</v>
      </c>
      <c r="CL37" s="136">
        <f t="shared" si="46"/>
        <v>804.25411383551102</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0</v>
      </c>
      <c r="DC37" s="131">
        <f t="shared" si="13"/>
        <v>0</v>
      </c>
      <c r="DD37" s="131">
        <f t="shared" si="55"/>
        <v>0</v>
      </c>
      <c r="DE37" s="131">
        <f t="shared" si="56"/>
        <v>0</v>
      </c>
      <c r="DF37" s="131">
        <f t="shared" si="57"/>
        <v>0</v>
      </c>
      <c r="DG37" s="131">
        <f t="shared" si="58"/>
        <v>0</v>
      </c>
      <c r="DH37" s="131"/>
      <c r="DI37" s="131"/>
      <c r="DJ37" s="131"/>
      <c r="DK37" s="137">
        <f t="shared" si="99"/>
        <v>4620.5129979953599</v>
      </c>
      <c r="DL37" s="227" t="e">
        <f t="shared" si="59"/>
        <v>#REF!</v>
      </c>
      <c r="DM37" s="227" t="e">
        <f t="shared" si="60"/>
        <v>#REF!</v>
      </c>
      <c r="DN37" s="228" t="e">
        <f t="shared" si="14"/>
        <v>#REF!</v>
      </c>
      <c r="DO37" s="228">
        <f t="shared" si="61"/>
        <v>194.35242757490622</v>
      </c>
      <c r="DP37" s="228" t="e">
        <f t="shared" si="62"/>
        <v>#REF!</v>
      </c>
      <c r="DQ37" s="228" t="e">
        <f t="shared" si="63"/>
        <v>#REF!</v>
      </c>
    </row>
    <row r="38" spans="1:121">
      <c r="A38" s="132">
        <f t="shared" si="15"/>
        <v>28</v>
      </c>
      <c r="B38" s="18">
        <f t="shared" si="64"/>
        <v>28</v>
      </c>
      <c r="C38" s="18">
        <f>IF(A38=0," ",VLOOKUP(B38,'tosafot '!$A$7:$B$234,2,0))</f>
        <v>4.2009999999999996</v>
      </c>
      <c r="D38" s="220">
        <f t="shared" si="65"/>
        <v>228</v>
      </c>
      <c r="E38" s="130">
        <f t="shared" si="66"/>
        <v>12.2026</v>
      </c>
      <c r="F38" s="126">
        <f t="shared" si="67"/>
        <v>22</v>
      </c>
      <c r="G38" s="18" t="str">
        <f t="shared" si="68"/>
        <v>התחבורה</v>
      </c>
      <c r="H38" s="189">
        <f t="shared" si="69"/>
        <v>122</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36.75</v>
      </c>
      <c r="R38" s="128">
        <f t="shared" si="78"/>
        <v>148</v>
      </c>
      <c r="S38" s="130">
        <f t="shared" si="79"/>
        <v>1.4414995494685181</v>
      </c>
      <c r="T38" s="135">
        <f t="shared" si="16"/>
        <v>0</v>
      </c>
      <c r="U38" s="127">
        <f t="shared" si="17"/>
        <v>0</v>
      </c>
      <c r="V38" s="217">
        <v>0</v>
      </c>
      <c r="W38" s="191">
        <v>0</v>
      </c>
      <c r="X38" s="133">
        <v>0</v>
      </c>
      <c r="Y38" s="131">
        <f t="shared" si="18"/>
        <v>2438.5</v>
      </c>
      <c r="Z38" s="131">
        <f t="shared" si="19"/>
        <v>1076.5966513789815</v>
      </c>
      <c r="AA38" s="242">
        <f t="shared" si="20"/>
        <v>3515.0966513789817</v>
      </c>
      <c r="AB38" s="131">
        <f t="shared" si="21"/>
        <v>0</v>
      </c>
      <c r="AC38" s="131">
        <f t="shared" si="22"/>
        <v>140.60386605515927</v>
      </c>
      <c r="AD38" s="131">
        <f t="shared" si="23"/>
        <v>0</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160.55836672570746</v>
      </c>
      <c r="CC38" s="131">
        <f t="shared" si="41"/>
        <v>0</v>
      </c>
      <c r="CD38" s="136">
        <f t="shared" si="42"/>
        <v>0</v>
      </c>
      <c r="CE38" s="131">
        <f t="shared" si="102"/>
        <v>0</v>
      </c>
      <c r="CF38" s="136">
        <f t="shared" si="43"/>
        <v>0</v>
      </c>
      <c r="CG38" s="136"/>
      <c r="CH38" s="136">
        <f t="shared" si="101"/>
        <v>0</v>
      </c>
      <c r="CI38" s="131">
        <f t="shared" si="44"/>
        <v>0</v>
      </c>
      <c r="CJ38" s="131"/>
      <c r="CK38" s="136">
        <f t="shared" si="45"/>
        <v>0</v>
      </c>
      <c r="CL38" s="136">
        <f t="shared" si="46"/>
        <v>804.25411383551102</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0</v>
      </c>
      <c r="DC38" s="131">
        <f t="shared" si="13"/>
        <v>0</v>
      </c>
      <c r="DD38" s="131">
        <f t="shared" si="55"/>
        <v>0</v>
      </c>
      <c r="DE38" s="131">
        <f t="shared" si="56"/>
        <v>0</v>
      </c>
      <c r="DF38" s="131">
        <f t="shared" si="57"/>
        <v>0</v>
      </c>
      <c r="DG38" s="131">
        <f t="shared" si="58"/>
        <v>0</v>
      </c>
      <c r="DH38" s="131"/>
      <c r="DI38" s="131"/>
      <c r="DJ38" s="131"/>
      <c r="DK38" s="137">
        <f t="shared" si="99"/>
        <v>4620.5129979953599</v>
      </c>
      <c r="DL38" s="227" t="e">
        <f t="shared" si="59"/>
        <v>#REF!</v>
      </c>
      <c r="DM38" s="227" t="e">
        <f t="shared" si="60"/>
        <v>#REF!</v>
      </c>
      <c r="DN38" s="228" t="e">
        <f t="shared" si="14"/>
        <v>#REF!</v>
      </c>
      <c r="DO38" s="228">
        <f t="shared" si="61"/>
        <v>194.35242757490622</v>
      </c>
      <c r="DP38" s="228" t="e">
        <f t="shared" si="62"/>
        <v>#REF!</v>
      </c>
      <c r="DQ38" s="228" t="e">
        <f t="shared" si="63"/>
        <v>#REF!</v>
      </c>
    </row>
    <row r="39" spans="1:121">
      <c r="A39" s="132">
        <f t="shared" si="15"/>
        <v>29</v>
      </c>
      <c r="B39" s="18">
        <f t="shared" si="64"/>
        <v>29</v>
      </c>
      <c r="C39" s="18">
        <f>IF(A39=0," ",VLOOKUP(B39,'tosafot '!$A$7:$B$234,2,0))</f>
        <v>5.2009999999999996</v>
      </c>
      <c r="D39" s="220">
        <f t="shared" si="65"/>
        <v>228</v>
      </c>
      <c r="E39" s="130">
        <f t="shared" si="66"/>
        <v>12.2026</v>
      </c>
      <c r="F39" s="126">
        <f t="shared" si="67"/>
        <v>22</v>
      </c>
      <c r="G39" s="18" t="str">
        <f t="shared" si="68"/>
        <v>התחבורה</v>
      </c>
      <c r="H39" s="189">
        <f t="shared" si="69"/>
        <v>122</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36.75</v>
      </c>
      <c r="R39" s="128">
        <f t="shared" si="78"/>
        <v>148</v>
      </c>
      <c r="S39" s="130">
        <f t="shared" si="79"/>
        <v>1.4414995494685181</v>
      </c>
      <c r="T39" s="135">
        <f t="shared" si="16"/>
        <v>0</v>
      </c>
      <c r="U39" s="127">
        <f t="shared" si="17"/>
        <v>0</v>
      </c>
      <c r="V39" s="217">
        <v>0</v>
      </c>
      <c r="W39" s="191">
        <v>0</v>
      </c>
      <c r="X39" s="133">
        <v>0</v>
      </c>
      <c r="Y39" s="131">
        <f t="shared" si="18"/>
        <v>2438.5</v>
      </c>
      <c r="Z39" s="131">
        <f t="shared" si="19"/>
        <v>1076.5966513789815</v>
      </c>
      <c r="AA39" s="242">
        <f t="shared" si="20"/>
        <v>3515.0966513789817</v>
      </c>
      <c r="AB39" s="131">
        <f t="shared" si="21"/>
        <v>0</v>
      </c>
      <c r="AC39" s="131">
        <f t="shared" si="22"/>
        <v>140.60386605515927</v>
      </c>
      <c r="AD39" s="131">
        <f t="shared" si="23"/>
        <v>0</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160.55836672570746</v>
      </c>
      <c r="CC39" s="131">
        <f t="shared" si="41"/>
        <v>0</v>
      </c>
      <c r="CD39" s="136">
        <f t="shared" si="42"/>
        <v>0</v>
      </c>
      <c r="CE39" s="131">
        <f t="shared" si="102"/>
        <v>0</v>
      </c>
      <c r="CF39" s="136">
        <f t="shared" si="43"/>
        <v>0</v>
      </c>
      <c r="CG39" s="136"/>
      <c r="CH39" s="136">
        <f t="shared" si="101"/>
        <v>0</v>
      </c>
      <c r="CI39" s="131">
        <f t="shared" si="44"/>
        <v>0</v>
      </c>
      <c r="CJ39" s="131"/>
      <c r="CK39" s="136">
        <f t="shared" si="45"/>
        <v>0</v>
      </c>
      <c r="CL39" s="136">
        <f t="shared" si="46"/>
        <v>804.25411383551102</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0</v>
      </c>
      <c r="DC39" s="131">
        <f t="shared" si="13"/>
        <v>0</v>
      </c>
      <c r="DD39" s="131">
        <f t="shared" si="55"/>
        <v>0</v>
      </c>
      <c r="DE39" s="131">
        <f t="shared" si="56"/>
        <v>0</v>
      </c>
      <c r="DF39" s="131">
        <f t="shared" si="57"/>
        <v>0</v>
      </c>
      <c r="DG39" s="131">
        <f t="shared" si="58"/>
        <v>0</v>
      </c>
      <c r="DH39" s="131"/>
      <c r="DI39" s="131"/>
      <c r="DJ39" s="131"/>
      <c r="DK39" s="137">
        <f t="shared" si="99"/>
        <v>4620.5129979953599</v>
      </c>
      <c r="DL39" s="227" t="e">
        <f t="shared" si="59"/>
        <v>#REF!</v>
      </c>
      <c r="DM39" s="227" t="e">
        <f t="shared" si="60"/>
        <v>#REF!</v>
      </c>
      <c r="DN39" s="228" t="e">
        <f t="shared" si="14"/>
        <v>#REF!</v>
      </c>
      <c r="DO39" s="228">
        <f t="shared" si="61"/>
        <v>194.35242757490622</v>
      </c>
      <c r="DP39" s="228" t="e">
        <f t="shared" si="62"/>
        <v>#REF!</v>
      </c>
      <c r="DQ39" s="228" t="e">
        <f t="shared" si="63"/>
        <v>#REF!</v>
      </c>
    </row>
    <row r="40" spans="1:121">
      <c r="A40" s="132">
        <f t="shared" si="15"/>
        <v>30</v>
      </c>
      <c r="B40" s="18">
        <f t="shared" si="64"/>
        <v>30</v>
      </c>
      <c r="C40" s="18">
        <f>IF(A40=0," ",VLOOKUP(B40,'tosafot '!$A$7:$B$234,2,0))</f>
        <v>6.2009999999999996</v>
      </c>
      <c r="D40" s="220">
        <f t="shared" si="65"/>
        <v>228</v>
      </c>
      <c r="E40" s="130">
        <f t="shared" si="66"/>
        <v>12.2026</v>
      </c>
      <c r="F40" s="126">
        <f t="shared" si="67"/>
        <v>22</v>
      </c>
      <c r="G40" s="18" t="str">
        <f t="shared" si="68"/>
        <v>התחבורה</v>
      </c>
      <c r="H40" s="189">
        <f t="shared" si="69"/>
        <v>122</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36.75</v>
      </c>
      <c r="R40" s="128">
        <f t="shared" si="78"/>
        <v>148</v>
      </c>
      <c r="S40" s="130">
        <f t="shared" si="79"/>
        <v>1.4414995494685181</v>
      </c>
      <c r="T40" s="135">
        <f t="shared" si="16"/>
        <v>0</v>
      </c>
      <c r="U40" s="127">
        <f t="shared" si="17"/>
        <v>0</v>
      </c>
      <c r="V40" s="217">
        <v>0</v>
      </c>
      <c r="W40" s="191">
        <v>0</v>
      </c>
      <c r="X40" s="133">
        <v>0</v>
      </c>
      <c r="Y40" s="131">
        <f t="shared" si="18"/>
        <v>2438.5</v>
      </c>
      <c r="Z40" s="131">
        <f t="shared" si="19"/>
        <v>1076.5966513789815</v>
      </c>
      <c r="AA40" s="242">
        <f t="shared" si="20"/>
        <v>3515.0966513789817</v>
      </c>
      <c r="AB40" s="131">
        <f t="shared" si="21"/>
        <v>0</v>
      </c>
      <c r="AC40" s="131">
        <f t="shared" si="22"/>
        <v>140.60386605515927</v>
      </c>
      <c r="AD40" s="131">
        <f t="shared" si="23"/>
        <v>0</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160.55836672570746</v>
      </c>
      <c r="CC40" s="131">
        <f t="shared" si="41"/>
        <v>0</v>
      </c>
      <c r="CD40" s="136">
        <f t="shared" si="42"/>
        <v>0</v>
      </c>
      <c r="CE40" s="131">
        <f t="shared" si="102"/>
        <v>0</v>
      </c>
      <c r="CF40" s="136">
        <f t="shared" si="43"/>
        <v>0</v>
      </c>
      <c r="CG40" s="136"/>
      <c r="CH40" s="136">
        <f t="shared" si="101"/>
        <v>0</v>
      </c>
      <c r="CI40" s="131">
        <f t="shared" si="44"/>
        <v>0</v>
      </c>
      <c r="CJ40" s="131"/>
      <c r="CK40" s="136">
        <f t="shared" si="45"/>
        <v>0</v>
      </c>
      <c r="CL40" s="136">
        <f t="shared" si="46"/>
        <v>804.25411383551102</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0</v>
      </c>
      <c r="DC40" s="131">
        <f t="shared" si="13"/>
        <v>0</v>
      </c>
      <c r="DD40" s="131">
        <f t="shared" si="55"/>
        <v>0</v>
      </c>
      <c r="DE40" s="131">
        <f t="shared" si="56"/>
        <v>0</v>
      </c>
      <c r="DF40" s="131">
        <f t="shared" si="57"/>
        <v>0</v>
      </c>
      <c r="DG40" s="131">
        <f t="shared" si="58"/>
        <v>0</v>
      </c>
      <c r="DH40" s="131"/>
      <c r="DI40" s="131"/>
      <c r="DJ40" s="131"/>
      <c r="DK40" s="137">
        <f t="shared" si="99"/>
        <v>4620.5129979953599</v>
      </c>
      <c r="DL40" s="227" t="e">
        <f t="shared" si="59"/>
        <v>#REF!</v>
      </c>
      <c r="DM40" s="227" t="e">
        <f t="shared" si="60"/>
        <v>#REF!</v>
      </c>
      <c r="DN40" s="228" t="e">
        <f t="shared" si="14"/>
        <v>#REF!</v>
      </c>
      <c r="DO40" s="228">
        <f t="shared" si="61"/>
        <v>194.35242757490622</v>
      </c>
      <c r="DP40" s="228" t="e">
        <f t="shared" si="62"/>
        <v>#REF!</v>
      </c>
      <c r="DQ40" s="228" t="e">
        <f t="shared" si="63"/>
        <v>#REF!</v>
      </c>
    </row>
    <row r="41" spans="1:121">
      <c r="A41" s="132">
        <f t="shared" si="15"/>
        <v>31</v>
      </c>
      <c r="B41" s="18">
        <f t="shared" si="64"/>
        <v>31</v>
      </c>
      <c r="C41" s="18">
        <f>IF(A41=0," ",VLOOKUP(B41,'tosafot '!$A$7:$B$234,2,0))</f>
        <v>7.2009999999999996</v>
      </c>
      <c r="D41" s="220">
        <f t="shared" si="65"/>
        <v>228</v>
      </c>
      <c r="E41" s="130">
        <f t="shared" si="66"/>
        <v>12.2026</v>
      </c>
      <c r="F41" s="126">
        <f t="shared" si="67"/>
        <v>22</v>
      </c>
      <c r="G41" s="18" t="str">
        <f t="shared" si="68"/>
        <v>התחבורה</v>
      </c>
      <c r="H41" s="189">
        <f t="shared" si="69"/>
        <v>122</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36.75</v>
      </c>
      <c r="R41" s="128">
        <f t="shared" si="78"/>
        <v>148</v>
      </c>
      <c r="S41" s="130">
        <f t="shared" si="79"/>
        <v>1.4414995494685181</v>
      </c>
      <c r="T41" s="135">
        <f t="shared" si="16"/>
        <v>0</v>
      </c>
      <c r="U41" s="127">
        <f t="shared" si="17"/>
        <v>0</v>
      </c>
      <c r="V41" s="217">
        <v>0</v>
      </c>
      <c r="W41" s="191">
        <v>0</v>
      </c>
      <c r="X41" s="133">
        <v>0</v>
      </c>
      <c r="Y41" s="131">
        <f t="shared" si="18"/>
        <v>2438.5</v>
      </c>
      <c r="Z41" s="131">
        <f t="shared" si="19"/>
        <v>1076.5966513789815</v>
      </c>
      <c r="AA41" s="242">
        <f t="shared" si="20"/>
        <v>3515.0966513789817</v>
      </c>
      <c r="AB41" s="131">
        <f t="shared" si="21"/>
        <v>0</v>
      </c>
      <c r="AC41" s="131">
        <f t="shared" si="22"/>
        <v>140.60386605515927</v>
      </c>
      <c r="AD41" s="131">
        <f t="shared" si="23"/>
        <v>0</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160.55836672570746</v>
      </c>
      <c r="CC41" s="131">
        <f t="shared" si="41"/>
        <v>0</v>
      </c>
      <c r="CD41" s="136">
        <f t="shared" si="42"/>
        <v>0</v>
      </c>
      <c r="CE41" s="131">
        <f t="shared" si="102"/>
        <v>0</v>
      </c>
      <c r="CF41" s="136">
        <f t="shared" si="43"/>
        <v>0</v>
      </c>
      <c r="CG41" s="136"/>
      <c r="CH41" s="136">
        <f t="shared" si="101"/>
        <v>0</v>
      </c>
      <c r="CI41" s="131">
        <f t="shared" si="44"/>
        <v>0</v>
      </c>
      <c r="CJ41" s="131"/>
      <c r="CK41" s="136">
        <f t="shared" si="45"/>
        <v>0</v>
      </c>
      <c r="CL41" s="136">
        <f t="shared" si="46"/>
        <v>804.25411383551102</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0</v>
      </c>
      <c r="DC41" s="131">
        <f t="shared" si="13"/>
        <v>0</v>
      </c>
      <c r="DD41" s="131">
        <f t="shared" si="55"/>
        <v>0</v>
      </c>
      <c r="DE41" s="131">
        <f t="shared" si="56"/>
        <v>0</v>
      </c>
      <c r="DF41" s="131">
        <f t="shared" si="57"/>
        <v>0</v>
      </c>
      <c r="DG41" s="131">
        <f t="shared" si="58"/>
        <v>0</v>
      </c>
      <c r="DH41" s="131"/>
      <c r="DI41" s="131"/>
      <c r="DJ41" s="131"/>
      <c r="DK41" s="137">
        <f t="shared" si="99"/>
        <v>4620.5129979953599</v>
      </c>
      <c r="DL41" s="227" t="e">
        <f t="shared" si="59"/>
        <v>#REF!</v>
      </c>
      <c r="DM41" s="227" t="e">
        <f t="shared" si="60"/>
        <v>#REF!</v>
      </c>
      <c r="DN41" s="228" t="e">
        <f t="shared" si="14"/>
        <v>#REF!</v>
      </c>
      <c r="DO41" s="228">
        <f t="shared" si="61"/>
        <v>194.35242757490622</v>
      </c>
      <c r="DP41" s="228" t="e">
        <f t="shared" si="62"/>
        <v>#REF!</v>
      </c>
      <c r="DQ41" s="228" t="e">
        <f t="shared" si="63"/>
        <v>#REF!</v>
      </c>
    </row>
    <row r="42" spans="1:121">
      <c r="A42" s="132">
        <f t="shared" si="15"/>
        <v>32</v>
      </c>
      <c r="B42" s="18">
        <f t="shared" si="64"/>
        <v>32</v>
      </c>
      <c r="C42" s="18">
        <f>IF(A42=0," ",VLOOKUP(B42,'tosafot '!$A$7:$B$234,2,0))</f>
        <v>8.2010000000000005</v>
      </c>
      <c r="D42" s="220">
        <f t="shared" si="65"/>
        <v>228</v>
      </c>
      <c r="E42" s="130">
        <f t="shared" si="66"/>
        <v>12.2026</v>
      </c>
      <c r="F42" s="126">
        <f t="shared" si="67"/>
        <v>22</v>
      </c>
      <c r="G42" s="18" t="str">
        <f t="shared" si="68"/>
        <v>התחבורה</v>
      </c>
      <c r="H42" s="189">
        <f t="shared" si="69"/>
        <v>122</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36.75</v>
      </c>
      <c r="R42" s="128">
        <f t="shared" si="78"/>
        <v>148</v>
      </c>
      <c r="S42" s="130">
        <f t="shared" si="79"/>
        <v>1.4414995494685181</v>
      </c>
      <c r="T42" s="135">
        <f t="shared" si="16"/>
        <v>0</v>
      </c>
      <c r="U42" s="127">
        <f t="shared" si="17"/>
        <v>0</v>
      </c>
      <c r="V42" s="217">
        <v>0</v>
      </c>
      <c r="W42" s="191">
        <v>0</v>
      </c>
      <c r="X42" s="133">
        <v>0</v>
      </c>
      <c r="Y42" s="131">
        <f t="shared" si="18"/>
        <v>2438.5</v>
      </c>
      <c r="Z42" s="131">
        <f t="shared" si="19"/>
        <v>1076.5966513789815</v>
      </c>
      <c r="AA42" s="242">
        <f t="shared" si="20"/>
        <v>3515.0966513789817</v>
      </c>
      <c r="AB42" s="131">
        <f t="shared" si="21"/>
        <v>0</v>
      </c>
      <c r="AC42" s="131">
        <f t="shared" si="22"/>
        <v>140.60386605515927</v>
      </c>
      <c r="AD42" s="131">
        <f t="shared" si="23"/>
        <v>0</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160.55836672570746</v>
      </c>
      <c r="CC42" s="131">
        <f t="shared" si="41"/>
        <v>0</v>
      </c>
      <c r="CD42" s="136">
        <f t="shared" si="42"/>
        <v>0</v>
      </c>
      <c r="CE42" s="131">
        <f t="shared" si="102"/>
        <v>0</v>
      </c>
      <c r="CF42" s="136">
        <f t="shared" si="43"/>
        <v>0</v>
      </c>
      <c r="CG42" s="136"/>
      <c r="CH42" s="136">
        <f t="shared" si="101"/>
        <v>0</v>
      </c>
      <c r="CI42" s="131">
        <f t="shared" si="44"/>
        <v>0</v>
      </c>
      <c r="CJ42" s="131"/>
      <c r="CK42" s="136">
        <f t="shared" si="45"/>
        <v>0</v>
      </c>
      <c r="CL42" s="136">
        <f t="shared" si="46"/>
        <v>804.25411383551102</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0</v>
      </c>
      <c r="DC42" s="131">
        <f t="shared" si="13"/>
        <v>0</v>
      </c>
      <c r="DD42" s="131">
        <f t="shared" si="55"/>
        <v>0</v>
      </c>
      <c r="DE42" s="131">
        <f t="shared" si="56"/>
        <v>0</v>
      </c>
      <c r="DF42" s="131">
        <f t="shared" si="57"/>
        <v>0</v>
      </c>
      <c r="DG42" s="131">
        <f t="shared" si="58"/>
        <v>0</v>
      </c>
      <c r="DH42" s="131"/>
      <c r="DI42" s="131"/>
      <c r="DJ42" s="131"/>
      <c r="DK42" s="137">
        <f t="shared" si="99"/>
        <v>4620.5129979953599</v>
      </c>
      <c r="DL42" s="227" t="e">
        <f t="shared" si="59"/>
        <v>#REF!</v>
      </c>
      <c r="DM42" s="227" t="e">
        <f t="shared" si="60"/>
        <v>#REF!</v>
      </c>
      <c r="DN42" s="228" t="e">
        <f t="shared" si="14"/>
        <v>#REF!</v>
      </c>
      <c r="DO42" s="228">
        <f t="shared" si="61"/>
        <v>194.35242757490622</v>
      </c>
      <c r="DP42" s="228" t="e">
        <f t="shared" si="62"/>
        <v>#REF!</v>
      </c>
      <c r="DQ42" s="228" t="e">
        <f t="shared" si="63"/>
        <v>#REF!</v>
      </c>
    </row>
    <row r="43" spans="1:121">
      <c r="A43" s="132">
        <f t="shared" si="15"/>
        <v>33</v>
      </c>
      <c r="B43" s="18">
        <f t="shared" si="64"/>
        <v>33</v>
      </c>
      <c r="C43" s="18">
        <f>IF(A43=0," ",VLOOKUP(B43,'tosafot '!$A$7:$B$234,2,0))</f>
        <v>9.2010000000000005</v>
      </c>
      <c r="D43" s="220">
        <f t="shared" si="65"/>
        <v>228</v>
      </c>
      <c r="E43" s="130">
        <f t="shared" si="66"/>
        <v>12.2026</v>
      </c>
      <c r="F43" s="126">
        <f t="shared" si="67"/>
        <v>22</v>
      </c>
      <c r="G43" s="18" t="str">
        <f t="shared" si="68"/>
        <v>התחבורה</v>
      </c>
      <c r="H43" s="189">
        <f t="shared" si="69"/>
        <v>122</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36.75</v>
      </c>
      <c r="R43" s="128">
        <f t="shared" si="78"/>
        <v>148</v>
      </c>
      <c r="S43" s="130">
        <f t="shared" si="79"/>
        <v>1.4414995494685181</v>
      </c>
      <c r="T43" s="135">
        <f t="shared" si="16"/>
        <v>0</v>
      </c>
      <c r="U43" s="127">
        <f t="shared" si="17"/>
        <v>0</v>
      </c>
      <c r="V43" s="217">
        <v>0</v>
      </c>
      <c r="W43" s="191">
        <v>0</v>
      </c>
      <c r="X43" s="133">
        <v>0</v>
      </c>
      <c r="Y43" s="131">
        <f t="shared" si="18"/>
        <v>2438.5</v>
      </c>
      <c r="Z43" s="131">
        <f t="shared" si="19"/>
        <v>1076.5966513789815</v>
      </c>
      <c r="AA43" s="242">
        <f t="shared" si="20"/>
        <v>3515.0966513789817</v>
      </c>
      <c r="AB43" s="131">
        <f t="shared" si="21"/>
        <v>0</v>
      </c>
      <c r="AC43" s="131">
        <f t="shared" si="22"/>
        <v>140.60386605515927</v>
      </c>
      <c r="AD43" s="131">
        <f t="shared" si="23"/>
        <v>0</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160.55836672570746</v>
      </c>
      <c r="CC43" s="131">
        <f t="shared" si="41"/>
        <v>0</v>
      </c>
      <c r="CD43" s="136">
        <f t="shared" si="42"/>
        <v>0</v>
      </c>
      <c r="CE43" s="131">
        <f t="shared" si="102"/>
        <v>0</v>
      </c>
      <c r="CF43" s="136">
        <f t="shared" si="43"/>
        <v>0</v>
      </c>
      <c r="CG43" s="136"/>
      <c r="CH43" s="136">
        <f t="shared" si="101"/>
        <v>0</v>
      </c>
      <c r="CI43" s="131">
        <f t="shared" si="44"/>
        <v>0</v>
      </c>
      <c r="CJ43" s="131"/>
      <c r="CK43" s="136">
        <f t="shared" si="45"/>
        <v>0</v>
      </c>
      <c r="CL43" s="136">
        <f t="shared" si="46"/>
        <v>804.25411383551102</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0</v>
      </c>
      <c r="DC43" s="131">
        <f t="shared" si="13"/>
        <v>0</v>
      </c>
      <c r="DD43" s="131">
        <f t="shared" si="55"/>
        <v>0</v>
      </c>
      <c r="DE43" s="131">
        <f t="shared" si="56"/>
        <v>0</v>
      </c>
      <c r="DF43" s="131">
        <f t="shared" si="57"/>
        <v>0</v>
      </c>
      <c r="DG43" s="131">
        <f t="shared" si="58"/>
        <v>0</v>
      </c>
      <c r="DH43" s="131"/>
      <c r="DI43" s="131"/>
      <c r="DJ43" s="131"/>
      <c r="DK43" s="137">
        <f t="shared" si="99"/>
        <v>4620.5129979953599</v>
      </c>
      <c r="DL43" s="227" t="e">
        <f t="shared" si="59"/>
        <v>#REF!</v>
      </c>
      <c r="DM43" s="227" t="e">
        <f t="shared" si="60"/>
        <v>#REF!</v>
      </c>
      <c r="DN43" s="228" t="e">
        <f t="shared" si="14"/>
        <v>#REF!</v>
      </c>
      <c r="DO43" s="228">
        <f t="shared" si="61"/>
        <v>194.35242757490622</v>
      </c>
      <c r="DP43" s="228" t="e">
        <f t="shared" si="62"/>
        <v>#REF!</v>
      </c>
      <c r="DQ43" s="228" t="e">
        <f t="shared" si="63"/>
        <v>#REF!</v>
      </c>
    </row>
    <row r="44" spans="1:121">
      <c r="A44" s="132">
        <f t="shared" si="15"/>
        <v>34</v>
      </c>
      <c r="B44" s="18">
        <f t="shared" si="64"/>
        <v>34</v>
      </c>
      <c r="C44" s="18">
        <f>IF(A44=0," ",VLOOKUP(B44,'tosafot '!$A$7:$B$234,2,0))</f>
        <v>10.201000000000001</v>
      </c>
      <c r="D44" s="220">
        <f t="shared" si="65"/>
        <v>228</v>
      </c>
      <c r="E44" s="130">
        <f t="shared" si="66"/>
        <v>12.2026</v>
      </c>
      <c r="F44" s="126">
        <f t="shared" si="67"/>
        <v>22</v>
      </c>
      <c r="G44" s="18" t="str">
        <f t="shared" si="68"/>
        <v>התחבורה</v>
      </c>
      <c r="H44" s="189">
        <f t="shared" si="69"/>
        <v>122</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36.75</v>
      </c>
      <c r="R44" s="128">
        <f t="shared" si="78"/>
        <v>148</v>
      </c>
      <c r="S44" s="130">
        <f t="shared" si="79"/>
        <v>1.4414995494685181</v>
      </c>
      <c r="T44" s="135">
        <f t="shared" si="16"/>
        <v>0</v>
      </c>
      <c r="U44" s="127">
        <f t="shared" si="17"/>
        <v>0</v>
      </c>
      <c r="V44" s="217">
        <v>0</v>
      </c>
      <c r="W44" s="191">
        <v>0</v>
      </c>
      <c r="X44" s="133">
        <v>0</v>
      </c>
      <c r="Y44" s="131">
        <f t="shared" si="18"/>
        <v>2438.5</v>
      </c>
      <c r="Z44" s="131">
        <f t="shared" si="19"/>
        <v>1076.5966513789815</v>
      </c>
      <c r="AA44" s="242">
        <f t="shared" si="20"/>
        <v>3515.0966513789817</v>
      </c>
      <c r="AB44" s="131">
        <f t="shared" si="21"/>
        <v>0</v>
      </c>
      <c r="AC44" s="131">
        <f t="shared" si="22"/>
        <v>140.60386605515927</v>
      </c>
      <c r="AD44" s="131">
        <f t="shared" si="23"/>
        <v>0</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160.55836672570746</v>
      </c>
      <c r="CC44" s="131">
        <f t="shared" si="41"/>
        <v>0</v>
      </c>
      <c r="CD44" s="136">
        <f t="shared" si="42"/>
        <v>0</v>
      </c>
      <c r="CE44" s="131">
        <f t="shared" si="102"/>
        <v>0</v>
      </c>
      <c r="CF44" s="136">
        <f t="shared" si="43"/>
        <v>0</v>
      </c>
      <c r="CG44" s="136"/>
      <c r="CH44" s="136">
        <f t="shared" si="101"/>
        <v>0</v>
      </c>
      <c r="CI44" s="131">
        <f t="shared" si="44"/>
        <v>0</v>
      </c>
      <c r="CJ44" s="131"/>
      <c r="CK44" s="136">
        <f t="shared" si="45"/>
        <v>0</v>
      </c>
      <c r="CL44" s="136">
        <f t="shared" si="46"/>
        <v>804.25411383551102</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0</v>
      </c>
      <c r="DC44" s="131">
        <f t="shared" si="13"/>
        <v>0</v>
      </c>
      <c r="DD44" s="131">
        <f t="shared" si="55"/>
        <v>0</v>
      </c>
      <c r="DE44" s="131">
        <f t="shared" si="56"/>
        <v>0</v>
      </c>
      <c r="DF44" s="131">
        <f t="shared" si="57"/>
        <v>0</v>
      </c>
      <c r="DG44" s="131">
        <f t="shared" si="58"/>
        <v>0</v>
      </c>
      <c r="DH44" s="131"/>
      <c r="DI44" s="131"/>
      <c r="DJ44" s="131"/>
      <c r="DK44" s="137">
        <f t="shared" si="99"/>
        <v>4620.5129979953599</v>
      </c>
      <c r="DL44" s="227" t="e">
        <f t="shared" si="59"/>
        <v>#REF!</v>
      </c>
      <c r="DM44" s="227" t="e">
        <f t="shared" si="60"/>
        <v>#REF!</v>
      </c>
      <c r="DN44" s="228" t="e">
        <f t="shared" si="14"/>
        <v>#REF!</v>
      </c>
      <c r="DO44" s="228">
        <f t="shared" si="61"/>
        <v>194.35242757490622</v>
      </c>
      <c r="DP44" s="228" t="e">
        <f t="shared" si="62"/>
        <v>#REF!</v>
      </c>
      <c r="DQ44" s="228" t="e">
        <f t="shared" si="63"/>
        <v>#REF!</v>
      </c>
    </row>
    <row r="45" spans="1:121">
      <c r="A45" s="132">
        <f t="shared" si="15"/>
        <v>35</v>
      </c>
      <c r="B45" s="18">
        <f t="shared" si="64"/>
        <v>35</v>
      </c>
      <c r="C45" s="18">
        <f>IF(A45=0," ",VLOOKUP(B45,'tosafot '!$A$7:$B$234,2,0))</f>
        <v>11.201000000000001</v>
      </c>
      <c r="D45" s="220">
        <f t="shared" si="65"/>
        <v>228</v>
      </c>
      <c r="E45" s="130">
        <f t="shared" si="66"/>
        <v>12.2026</v>
      </c>
      <c r="F45" s="126">
        <f t="shared" si="67"/>
        <v>22</v>
      </c>
      <c r="G45" s="18" t="str">
        <f t="shared" si="68"/>
        <v>התחבורה</v>
      </c>
      <c r="H45" s="189">
        <f t="shared" si="69"/>
        <v>122</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36.75</v>
      </c>
      <c r="R45" s="128">
        <f t="shared" si="78"/>
        <v>148</v>
      </c>
      <c r="S45" s="130">
        <f t="shared" si="79"/>
        <v>1.4414995494685181</v>
      </c>
      <c r="T45" s="135">
        <f t="shared" si="16"/>
        <v>0</v>
      </c>
      <c r="U45" s="127">
        <f t="shared" si="17"/>
        <v>0</v>
      </c>
      <c r="V45" s="217">
        <v>0</v>
      </c>
      <c r="W45" s="191">
        <v>0</v>
      </c>
      <c r="X45" s="133">
        <v>0</v>
      </c>
      <c r="Y45" s="131">
        <f t="shared" si="18"/>
        <v>2438.5</v>
      </c>
      <c r="Z45" s="131">
        <f t="shared" si="19"/>
        <v>1076.5966513789815</v>
      </c>
      <c r="AA45" s="242">
        <f t="shared" si="20"/>
        <v>3515.0966513789817</v>
      </c>
      <c r="AB45" s="131">
        <f t="shared" si="21"/>
        <v>0</v>
      </c>
      <c r="AC45" s="131">
        <f t="shared" si="22"/>
        <v>140.60386605515927</v>
      </c>
      <c r="AD45" s="131">
        <f t="shared" si="23"/>
        <v>0</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160.55836672570746</v>
      </c>
      <c r="CC45" s="131">
        <f t="shared" si="41"/>
        <v>0</v>
      </c>
      <c r="CD45" s="136">
        <f t="shared" si="42"/>
        <v>0</v>
      </c>
      <c r="CE45" s="131">
        <f t="shared" si="102"/>
        <v>0</v>
      </c>
      <c r="CF45" s="136">
        <f t="shared" si="43"/>
        <v>0</v>
      </c>
      <c r="CG45" s="136"/>
      <c r="CH45" s="136">
        <f t="shared" si="101"/>
        <v>0</v>
      </c>
      <c r="CI45" s="131">
        <f t="shared" si="44"/>
        <v>0</v>
      </c>
      <c r="CJ45" s="131"/>
      <c r="CK45" s="136">
        <f t="shared" si="45"/>
        <v>0</v>
      </c>
      <c r="CL45" s="136">
        <f t="shared" si="46"/>
        <v>804.25411383551102</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0</v>
      </c>
      <c r="DC45" s="131">
        <f t="shared" si="13"/>
        <v>0</v>
      </c>
      <c r="DD45" s="131">
        <f t="shared" si="55"/>
        <v>0</v>
      </c>
      <c r="DE45" s="131">
        <f t="shared" si="56"/>
        <v>0</v>
      </c>
      <c r="DF45" s="131">
        <f t="shared" si="57"/>
        <v>0</v>
      </c>
      <c r="DG45" s="131">
        <f t="shared" si="58"/>
        <v>0</v>
      </c>
      <c r="DH45" s="131"/>
      <c r="DI45" s="131"/>
      <c r="DJ45" s="131"/>
      <c r="DK45" s="137">
        <f t="shared" si="99"/>
        <v>4620.5129979953599</v>
      </c>
      <c r="DL45" s="227" t="e">
        <f t="shared" si="59"/>
        <v>#REF!</v>
      </c>
      <c r="DM45" s="227" t="e">
        <f t="shared" si="60"/>
        <v>#REF!</v>
      </c>
      <c r="DN45" s="228" t="e">
        <f t="shared" si="14"/>
        <v>#REF!</v>
      </c>
      <c r="DO45" s="228">
        <f t="shared" si="61"/>
        <v>194.35242757490622</v>
      </c>
      <c r="DP45" s="228" t="e">
        <f t="shared" si="62"/>
        <v>#REF!</v>
      </c>
      <c r="DQ45" s="228" t="e">
        <f t="shared" si="63"/>
        <v>#REF!</v>
      </c>
    </row>
    <row r="46" spans="1:121">
      <c r="A46" s="132">
        <f t="shared" si="15"/>
        <v>36</v>
      </c>
      <c r="B46" s="18">
        <f t="shared" si="64"/>
        <v>36</v>
      </c>
      <c r="C46" s="18">
        <f>IF(A46=0," ",VLOOKUP(B46,'tosafot '!$A$7:$B$234,2,0))</f>
        <v>12.201000000000001</v>
      </c>
      <c r="D46" s="220">
        <f t="shared" si="65"/>
        <v>228</v>
      </c>
      <c r="E46" s="130">
        <f t="shared" si="66"/>
        <v>12.2026</v>
      </c>
      <c r="F46" s="126">
        <f t="shared" si="67"/>
        <v>22</v>
      </c>
      <c r="G46" s="18" t="str">
        <f t="shared" si="68"/>
        <v>התחבורה</v>
      </c>
      <c r="H46" s="189">
        <f t="shared" si="69"/>
        <v>122</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36.75</v>
      </c>
      <c r="R46" s="128">
        <f t="shared" si="78"/>
        <v>148</v>
      </c>
      <c r="S46" s="130">
        <f t="shared" si="79"/>
        <v>1.4414995494685181</v>
      </c>
      <c r="T46" s="135">
        <f t="shared" si="16"/>
        <v>0</v>
      </c>
      <c r="U46" s="127">
        <f t="shared" si="17"/>
        <v>0</v>
      </c>
      <c r="V46" s="217">
        <v>0</v>
      </c>
      <c r="W46" s="191">
        <v>0</v>
      </c>
      <c r="X46" s="133">
        <v>0</v>
      </c>
      <c r="Y46" s="131">
        <f t="shared" si="18"/>
        <v>2438.5</v>
      </c>
      <c r="Z46" s="131">
        <f t="shared" si="19"/>
        <v>1076.5966513789815</v>
      </c>
      <c r="AA46" s="242">
        <f t="shared" si="20"/>
        <v>3515.0966513789817</v>
      </c>
      <c r="AB46" s="131">
        <f t="shared" si="21"/>
        <v>0</v>
      </c>
      <c r="AC46" s="131">
        <f t="shared" si="22"/>
        <v>140.60386605515927</v>
      </c>
      <c r="AD46" s="131">
        <f t="shared" si="23"/>
        <v>0</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160.55836672570746</v>
      </c>
      <c r="CC46" s="131">
        <f t="shared" si="41"/>
        <v>0</v>
      </c>
      <c r="CD46" s="136">
        <f t="shared" si="42"/>
        <v>0</v>
      </c>
      <c r="CE46" s="131">
        <f t="shared" si="102"/>
        <v>0</v>
      </c>
      <c r="CF46" s="136">
        <f t="shared" si="43"/>
        <v>0</v>
      </c>
      <c r="CG46" s="136"/>
      <c r="CH46" s="136">
        <f t="shared" si="101"/>
        <v>0</v>
      </c>
      <c r="CI46" s="131">
        <f t="shared" si="44"/>
        <v>0</v>
      </c>
      <c r="CJ46" s="131"/>
      <c r="CK46" s="136">
        <f t="shared" si="45"/>
        <v>0</v>
      </c>
      <c r="CL46" s="136">
        <f t="shared" si="46"/>
        <v>804.25411383551102</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0</v>
      </c>
      <c r="DC46" s="131">
        <f t="shared" si="13"/>
        <v>0</v>
      </c>
      <c r="DD46" s="131">
        <f t="shared" si="55"/>
        <v>0</v>
      </c>
      <c r="DE46" s="131">
        <f t="shared" si="56"/>
        <v>0</v>
      </c>
      <c r="DF46" s="131">
        <f t="shared" si="57"/>
        <v>0</v>
      </c>
      <c r="DG46" s="131">
        <f t="shared" si="58"/>
        <v>0</v>
      </c>
      <c r="DH46" s="131"/>
      <c r="DI46" s="131"/>
      <c r="DJ46" s="131"/>
      <c r="DK46" s="137">
        <f t="shared" si="99"/>
        <v>4620.5129979953599</v>
      </c>
      <c r="DL46" s="227" t="e">
        <f t="shared" si="59"/>
        <v>#REF!</v>
      </c>
      <c r="DM46" s="227" t="e">
        <f t="shared" si="60"/>
        <v>#REF!</v>
      </c>
      <c r="DN46" s="228" t="e">
        <f t="shared" si="14"/>
        <v>#REF!</v>
      </c>
      <c r="DO46" s="228">
        <f t="shared" si="61"/>
        <v>194.35242757490622</v>
      </c>
      <c r="DP46" s="228" t="e">
        <f t="shared" si="62"/>
        <v>#REF!</v>
      </c>
      <c r="DQ46" s="228" t="e">
        <f t="shared" si="63"/>
        <v>#REF!</v>
      </c>
    </row>
    <row r="47" spans="1:121">
      <c r="A47" s="132">
        <f t="shared" si="15"/>
        <v>37</v>
      </c>
      <c r="B47" s="18">
        <f t="shared" si="64"/>
        <v>37</v>
      </c>
      <c r="C47" s="18">
        <f>IF(A47=0," ",VLOOKUP(B47,'tosafot '!$A$7:$B$234,2,0))</f>
        <v>1.2011000000000001</v>
      </c>
      <c r="D47" s="220">
        <f t="shared" si="65"/>
        <v>228</v>
      </c>
      <c r="E47" s="130">
        <f t="shared" si="66"/>
        <v>12.2026</v>
      </c>
      <c r="F47" s="126">
        <f t="shared" si="67"/>
        <v>22</v>
      </c>
      <c r="G47" s="18" t="str">
        <f t="shared" si="68"/>
        <v>התחבורה</v>
      </c>
      <c r="H47" s="189">
        <f t="shared" si="69"/>
        <v>122</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36.75</v>
      </c>
      <c r="R47" s="128">
        <f t="shared" si="78"/>
        <v>148</v>
      </c>
      <c r="S47" s="130">
        <f t="shared" si="79"/>
        <v>1.4414995494685181</v>
      </c>
      <c r="T47" s="135">
        <f t="shared" si="16"/>
        <v>0</v>
      </c>
      <c r="U47" s="127">
        <f t="shared" si="17"/>
        <v>0</v>
      </c>
      <c r="V47" s="217">
        <v>0</v>
      </c>
      <c r="W47" s="191">
        <v>0</v>
      </c>
      <c r="X47" s="133">
        <v>0</v>
      </c>
      <c r="Y47" s="131">
        <f t="shared" si="18"/>
        <v>2438.5</v>
      </c>
      <c r="Z47" s="131">
        <f t="shared" si="19"/>
        <v>1076.5966513789815</v>
      </c>
      <c r="AA47" s="242">
        <f t="shared" si="20"/>
        <v>3515.0966513789817</v>
      </c>
      <c r="AB47" s="131">
        <f t="shared" si="21"/>
        <v>0</v>
      </c>
      <c r="AC47" s="131">
        <f t="shared" si="22"/>
        <v>140.60386605515927</v>
      </c>
      <c r="AD47" s="131">
        <f t="shared" si="23"/>
        <v>0</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160.55836672570746</v>
      </c>
      <c r="CC47" s="131">
        <f t="shared" si="41"/>
        <v>0</v>
      </c>
      <c r="CD47" s="136">
        <f t="shared" si="42"/>
        <v>0</v>
      </c>
      <c r="CE47" s="131">
        <f t="shared" si="102"/>
        <v>0</v>
      </c>
      <c r="CF47" s="136">
        <f t="shared" si="43"/>
        <v>0</v>
      </c>
      <c r="CG47" s="136"/>
      <c r="CH47" s="136">
        <f t="shared" si="101"/>
        <v>0</v>
      </c>
      <c r="CI47" s="131">
        <f t="shared" si="44"/>
        <v>0</v>
      </c>
      <c r="CJ47" s="131"/>
      <c r="CK47" s="136">
        <f t="shared" si="45"/>
        <v>0</v>
      </c>
      <c r="CL47" s="136">
        <f t="shared" si="46"/>
        <v>804.25411383551102</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0</v>
      </c>
      <c r="DC47" s="131">
        <f t="shared" si="13"/>
        <v>0</v>
      </c>
      <c r="DD47" s="131">
        <f t="shared" si="55"/>
        <v>0</v>
      </c>
      <c r="DE47" s="131">
        <f t="shared" si="56"/>
        <v>0</v>
      </c>
      <c r="DF47" s="131">
        <f t="shared" si="57"/>
        <v>0</v>
      </c>
      <c r="DG47" s="131">
        <f t="shared" si="58"/>
        <v>0</v>
      </c>
      <c r="DH47" s="131"/>
      <c r="DI47" s="131"/>
      <c r="DJ47" s="131"/>
      <c r="DK47" s="137">
        <f t="shared" si="99"/>
        <v>4620.5129979953599</v>
      </c>
      <c r="DL47" s="227" t="e">
        <f t="shared" si="59"/>
        <v>#REF!</v>
      </c>
      <c r="DM47" s="227" t="e">
        <f t="shared" si="60"/>
        <v>#REF!</v>
      </c>
      <c r="DN47" s="228" t="e">
        <f t="shared" si="14"/>
        <v>#REF!</v>
      </c>
      <c r="DO47" s="228">
        <f t="shared" si="61"/>
        <v>194.35242757490622</v>
      </c>
      <c r="DP47" s="228" t="e">
        <f t="shared" si="62"/>
        <v>#REF!</v>
      </c>
      <c r="DQ47" s="228" t="e">
        <f t="shared" si="63"/>
        <v>#REF!</v>
      </c>
    </row>
    <row r="48" spans="1:121">
      <c r="A48" s="132">
        <f t="shared" si="15"/>
        <v>38</v>
      </c>
      <c r="B48" s="18">
        <f t="shared" si="64"/>
        <v>38</v>
      </c>
      <c r="C48" s="18">
        <f>IF(A48=0," ",VLOOKUP(B48,'tosafot '!$A$7:$B$234,2,0))</f>
        <v>2.2010999999999998</v>
      </c>
      <c r="D48" s="220">
        <f t="shared" si="65"/>
        <v>228</v>
      </c>
      <c r="E48" s="130">
        <f t="shared" si="66"/>
        <v>12.2026</v>
      </c>
      <c r="F48" s="126">
        <f t="shared" si="67"/>
        <v>22</v>
      </c>
      <c r="G48" s="18" t="str">
        <f t="shared" si="68"/>
        <v>התחבורה</v>
      </c>
      <c r="H48" s="189">
        <f t="shared" si="69"/>
        <v>122</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36.75</v>
      </c>
      <c r="R48" s="128">
        <f t="shared" si="78"/>
        <v>148</v>
      </c>
      <c r="S48" s="130">
        <f t="shared" si="79"/>
        <v>1.4414995494685181</v>
      </c>
      <c r="T48" s="135">
        <f t="shared" si="16"/>
        <v>0</v>
      </c>
      <c r="U48" s="127">
        <f t="shared" si="17"/>
        <v>0</v>
      </c>
      <c r="V48" s="217">
        <v>0</v>
      </c>
      <c r="W48" s="191">
        <v>0</v>
      </c>
      <c r="X48" s="133">
        <v>0</v>
      </c>
      <c r="Y48" s="131">
        <f t="shared" si="18"/>
        <v>2438.5</v>
      </c>
      <c r="Z48" s="131">
        <f t="shared" si="19"/>
        <v>1076.5966513789815</v>
      </c>
      <c r="AA48" s="242">
        <f t="shared" si="20"/>
        <v>3515.0966513789817</v>
      </c>
      <c r="AB48" s="131">
        <f t="shared" si="21"/>
        <v>0</v>
      </c>
      <c r="AC48" s="131">
        <f t="shared" si="22"/>
        <v>140.60386605515927</v>
      </c>
      <c r="AD48" s="131">
        <f t="shared" si="23"/>
        <v>0</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160.55836672570746</v>
      </c>
      <c r="CC48" s="131">
        <f t="shared" si="41"/>
        <v>0</v>
      </c>
      <c r="CD48" s="136">
        <f t="shared" si="42"/>
        <v>0</v>
      </c>
      <c r="CE48" s="131">
        <f t="shared" si="102"/>
        <v>0</v>
      </c>
      <c r="CF48" s="136">
        <f t="shared" si="43"/>
        <v>0</v>
      </c>
      <c r="CG48" s="136"/>
      <c r="CH48" s="136">
        <f t="shared" si="101"/>
        <v>0</v>
      </c>
      <c r="CI48" s="131">
        <f t="shared" si="44"/>
        <v>0</v>
      </c>
      <c r="CJ48" s="131"/>
      <c r="CK48" s="136">
        <f t="shared" si="45"/>
        <v>0</v>
      </c>
      <c r="CL48" s="136">
        <f t="shared" si="46"/>
        <v>804.25411383551102</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0</v>
      </c>
      <c r="DC48" s="131">
        <f t="shared" si="13"/>
        <v>0</v>
      </c>
      <c r="DD48" s="131">
        <f t="shared" si="55"/>
        <v>0</v>
      </c>
      <c r="DE48" s="131">
        <f t="shared" si="56"/>
        <v>0</v>
      </c>
      <c r="DF48" s="131">
        <f t="shared" si="57"/>
        <v>0</v>
      </c>
      <c r="DG48" s="131">
        <f t="shared" si="58"/>
        <v>0</v>
      </c>
      <c r="DH48" s="131"/>
      <c r="DI48" s="131"/>
      <c r="DJ48" s="131"/>
      <c r="DK48" s="137">
        <f t="shared" si="99"/>
        <v>4620.5129979953599</v>
      </c>
      <c r="DL48" s="227" t="e">
        <f t="shared" si="59"/>
        <v>#REF!</v>
      </c>
      <c r="DM48" s="227" t="e">
        <f t="shared" si="60"/>
        <v>#REF!</v>
      </c>
      <c r="DN48" s="228" t="e">
        <f t="shared" si="14"/>
        <v>#REF!</v>
      </c>
      <c r="DO48" s="228">
        <f t="shared" si="61"/>
        <v>194.35242757490622</v>
      </c>
      <c r="DP48" s="228" t="e">
        <f t="shared" si="62"/>
        <v>#REF!</v>
      </c>
      <c r="DQ48" s="228" t="e">
        <f t="shared" si="63"/>
        <v>#REF!</v>
      </c>
    </row>
    <row r="49" spans="1:121">
      <c r="A49" s="132">
        <f t="shared" si="15"/>
        <v>39</v>
      </c>
      <c r="B49" s="18">
        <f t="shared" si="64"/>
        <v>39</v>
      </c>
      <c r="C49" s="18">
        <f>IF(A49=0," ",VLOOKUP(B49,'tosafot '!$A$7:$B$234,2,0))</f>
        <v>3.2010999999999998</v>
      </c>
      <c r="D49" s="220">
        <f t="shared" si="65"/>
        <v>228</v>
      </c>
      <c r="E49" s="130">
        <f t="shared" si="66"/>
        <v>12.2026</v>
      </c>
      <c r="F49" s="126">
        <f t="shared" si="67"/>
        <v>22</v>
      </c>
      <c r="G49" s="18" t="str">
        <f t="shared" si="68"/>
        <v>התחבורה</v>
      </c>
      <c r="H49" s="189">
        <f t="shared" si="69"/>
        <v>122</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36.75</v>
      </c>
      <c r="R49" s="128">
        <f t="shared" si="78"/>
        <v>148</v>
      </c>
      <c r="S49" s="130">
        <f t="shared" si="79"/>
        <v>1.4414995494685181</v>
      </c>
      <c r="T49" s="135">
        <f t="shared" si="16"/>
        <v>0</v>
      </c>
      <c r="U49" s="127">
        <f t="shared" si="17"/>
        <v>0</v>
      </c>
      <c r="V49" s="217">
        <v>0</v>
      </c>
      <c r="W49" s="191">
        <v>0</v>
      </c>
      <c r="X49" s="133">
        <v>0</v>
      </c>
      <c r="Y49" s="131">
        <f t="shared" si="18"/>
        <v>2438.5</v>
      </c>
      <c r="Z49" s="131">
        <f t="shared" si="19"/>
        <v>1076.5966513789815</v>
      </c>
      <c r="AA49" s="242">
        <f t="shared" si="20"/>
        <v>3515.0966513789817</v>
      </c>
      <c r="AB49" s="131">
        <f t="shared" si="21"/>
        <v>0</v>
      </c>
      <c r="AC49" s="131">
        <f t="shared" si="22"/>
        <v>140.60386605515927</v>
      </c>
      <c r="AD49" s="131">
        <f t="shared" si="23"/>
        <v>0</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160.55836672570746</v>
      </c>
      <c r="CC49" s="131">
        <f t="shared" si="41"/>
        <v>0</v>
      </c>
      <c r="CD49" s="136">
        <f t="shared" si="42"/>
        <v>0</v>
      </c>
      <c r="CE49" s="131">
        <f t="shared" si="102"/>
        <v>0</v>
      </c>
      <c r="CF49" s="136">
        <f t="shared" si="43"/>
        <v>0</v>
      </c>
      <c r="CG49" s="136"/>
      <c r="CH49" s="136">
        <f t="shared" si="101"/>
        <v>0</v>
      </c>
      <c r="CI49" s="131">
        <f t="shared" si="44"/>
        <v>0</v>
      </c>
      <c r="CJ49" s="131"/>
      <c r="CK49" s="136">
        <f t="shared" si="45"/>
        <v>0</v>
      </c>
      <c r="CL49" s="136">
        <f t="shared" si="46"/>
        <v>804.25411383551102</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0</v>
      </c>
      <c r="DC49" s="131">
        <f t="shared" si="13"/>
        <v>0</v>
      </c>
      <c r="DD49" s="131">
        <f t="shared" si="55"/>
        <v>0</v>
      </c>
      <c r="DE49" s="131">
        <f t="shared" si="56"/>
        <v>0</v>
      </c>
      <c r="DF49" s="131">
        <f t="shared" si="57"/>
        <v>0</v>
      </c>
      <c r="DG49" s="131">
        <f t="shared" si="58"/>
        <v>0</v>
      </c>
      <c r="DH49" s="131"/>
      <c r="DI49" s="131"/>
      <c r="DJ49" s="131"/>
      <c r="DK49" s="137">
        <f t="shared" si="99"/>
        <v>4620.5129979953599</v>
      </c>
      <c r="DL49" s="227" t="e">
        <f t="shared" si="59"/>
        <v>#REF!</v>
      </c>
      <c r="DM49" s="227" t="e">
        <f t="shared" si="60"/>
        <v>#REF!</v>
      </c>
      <c r="DN49" s="228" t="e">
        <f t="shared" si="14"/>
        <v>#REF!</v>
      </c>
      <c r="DO49" s="228">
        <f t="shared" si="61"/>
        <v>194.35242757490622</v>
      </c>
      <c r="DP49" s="228" t="e">
        <f t="shared" si="62"/>
        <v>#REF!</v>
      </c>
      <c r="DQ49" s="228" t="e">
        <f t="shared" si="63"/>
        <v>#REF!</v>
      </c>
    </row>
    <row r="50" spans="1:121">
      <c r="A50" s="132">
        <f t="shared" si="15"/>
        <v>40</v>
      </c>
      <c r="B50" s="18">
        <f t="shared" si="64"/>
        <v>40</v>
      </c>
      <c r="C50" s="18">
        <f>IF(A50=0," ",VLOOKUP(B50,'tosafot '!$A$7:$B$234,2,0))</f>
        <v>4.2011000000000003</v>
      </c>
      <c r="D50" s="220">
        <f t="shared" si="65"/>
        <v>228</v>
      </c>
      <c r="E50" s="130">
        <f t="shared" si="66"/>
        <v>12.2026</v>
      </c>
      <c r="F50" s="126">
        <f t="shared" si="67"/>
        <v>22</v>
      </c>
      <c r="G50" s="18" t="str">
        <f t="shared" si="68"/>
        <v>התחבורה</v>
      </c>
      <c r="H50" s="189">
        <f t="shared" si="69"/>
        <v>122</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36.75</v>
      </c>
      <c r="R50" s="128">
        <f t="shared" si="78"/>
        <v>148</v>
      </c>
      <c r="S50" s="130">
        <f t="shared" si="79"/>
        <v>1.4414995494685181</v>
      </c>
      <c r="T50" s="135">
        <f t="shared" si="16"/>
        <v>0</v>
      </c>
      <c r="U50" s="127">
        <f t="shared" si="17"/>
        <v>0</v>
      </c>
      <c r="V50" s="217">
        <v>0</v>
      </c>
      <c r="W50" s="191">
        <v>0</v>
      </c>
      <c r="X50" s="133">
        <v>0</v>
      </c>
      <c r="Y50" s="131">
        <f t="shared" si="18"/>
        <v>2438.5</v>
      </c>
      <c r="Z50" s="131">
        <f t="shared" si="19"/>
        <v>1076.5966513789815</v>
      </c>
      <c r="AA50" s="242">
        <f t="shared" si="20"/>
        <v>3515.0966513789817</v>
      </c>
      <c r="AB50" s="131">
        <f t="shared" si="21"/>
        <v>0</v>
      </c>
      <c r="AC50" s="131">
        <f t="shared" si="22"/>
        <v>140.60386605515927</v>
      </c>
      <c r="AD50" s="131">
        <f t="shared" si="23"/>
        <v>0</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160.55836672570746</v>
      </c>
      <c r="CC50" s="131">
        <f t="shared" si="41"/>
        <v>0</v>
      </c>
      <c r="CD50" s="136">
        <f t="shared" si="42"/>
        <v>0</v>
      </c>
      <c r="CE50" s="131">
        <f t="shared" si="102"/>
        <v>0</v>
      </c>
      <c r="CF50" s="136">
        <f t="shared" si="43"/>
        <v>0</v>
      </c>
      <c r="CG50" s="136"/>
      <c r="CH50" s="136">
        <f t="shared" si="101"/>
        <v>0</v>
      </c>
      <c r="CI50" s="131">
        <f t="shared" si="44"/>
        <v>0</v>
      </c>
      <c r="CJ50" s="131"/>
      <c r="CK50" s="136">
        <f t="shared" si="45"/>
        <v>0</v>
      </c>
      <c r="CL50" s="136">
        <f t="shared" si="46"/>
        <v>804.25411383551102</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0</v>
      </c>
      <c r="DC50" s="131">
        <f t="shared" si="13"/>
        <v>0</v>
      </c>
      <c r="DD50" s="131">
        <f t="shared" si="55"/>
        <v>0</v>
      </c>
      <c r="DE50" s="131">
        <f t="shared" si="56"/>
        <v>0</v>
      </c>
      <c r="DF50" s="131">
        <f t="shared" si="57"/>
        <v>0</v>
      </c>
      <c r="DG50" s="131">
        <f t="shared" si="58"/>
        <v>0</v>
      </c>
      <c r="DH50" s="131"/>
      <c r="DI50" s="131"/>
      <c r="DJ50" s="131"/>
      <c r="DK50" s="137">
        <f t="shared" si="99"/>
        <v>4620.5129979953599</v>
      </c>
      <c r="DL50" s="227" t="e">
        <f t="shared" si="59"/>
        <v>#REF!</v>
      </c>
      <c r="DM50" s="227" t="e">
        <f t="shared" si="60"/>
        <v>#REF!</v>
      </c>
      <c r="DN50" s="228" t="e">
        <f t="shared" si="14"/>
        <v>#REF!</v>
      </c>
      <c r="DO50" s="228">
        <f t="shared" si="61"/>
        <v>194.35242757490622</v>
      </c>
      <c r="DP50" s="228" t="e">
        <f t="shared" si="62"/>
        <v>#REF!</v>
      </c>
      <c r="DQ50" s="228" t="e">
        <f t="shared" si="63"/>
        <v>#REF!</v>
      </c>
    </row>
    <row r="51" spans="1:121">
      <c r="A51" s="132">
        <f t="shared" si="15"/>
        <v>41</v>
      </c>
      <c r="B51" s="18">
        <f t="shared" si="64"/>
        <v>41</v>
      </c>
      <c r="C51" s="18">
        <f>IF(A51=0," ",VLOOKUP(B51,'tosafot '!$A$7:$B$234,2,0))</f>
        <v>5.2011000000000003</v>
      </c>
      <c r="D51" s="220">
        <f t="shared" si="65"/>
        <v>228</v>
      </c>
      <c r="E51" s="130">
        <f t="shared" si="66"/>
        <v>12.2026</v>
      </c>
      <c r="F51" s="126">
        <f t="shared" si="67"/>
        <v>22</v>
      </c>
      <c r="G51" s="18" t="str">
        <f t="shared" si="68"/>
        <v>התחבורה</v>
      </c>
      <c r="H51" s="189">
        <f t="shared" si="69"/>
        <v>122</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36.75</v>
      </c>
      <c r="R51" s="128">
        <f t="shared" si="78"/>
        <v>148</v>
      </c>
      <c r="S51" s="130">
        <f t="shared" si="79"/>
        <v>1.4414995494685181</v>
      </c>
      <c r="T51" s="135">
        <f t="shared" si="16"/>
        <v>0</v>
      </c>
      <c r="U51" s="127">
        <f t="shared" si="17"/>
        <v>0</v>
      </c>
      <c r="V51" s="217">
        <v>0</v>
      </c>
      <c r="W51" s="191">
        <v>0</v>
      </c>
      <c r="X51" s="133">
        <v>0</v>
      </c>
      <c r="Y51" s="131">
        <f t="shared" si="18"/>
        <v>2438.5</v>
      </c>
      <c r="Z51" s="131">
        <f t="shared" si="19"/>
        <v>1076.5966513789815</v>
      </c>
      <c r="AA51" s="242">
        <f t="shared" si="20"/>
        <v>3515.0966513789817</v>
      </c>
      <c r="AB51" s="131">
        <f t="shared" si="21"/>
        <v>0</v>
      </c>
      <c r="AC51" s="131">
        <f t="shared" si="22"/>
        <v>140.60386605515927</v>
      </c>
      <c r="AD51" s="131">
        <f t="shared" si="23"/>
        <v>0</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160.55836672570746</v>
      </c>
      <c r="CC51" s="131">
        <f t="shared" si="41"/>
        <v>0</v>
      </c>
      <c r="CD51" s="136">
        <f t="shared" si="42"/>
        <v>0</v>
      </c>
      <c r="CE51" s="131">
        <f t="shared" si="102"/>
        <v>0</v>
      </c>
      <c r="CF51" s="136">
        <f t="shared" si="43"/>
        <v>0</v>
      </c>
      <c r="CG51" s="136"/>
      <c r="CH51" s="136">
        <f t="shared" si="101"/>
        <v>0</v>
      </c>
      <c r="CI51" s="131">
        <f t="shared" si="44"/>
        <v>0</v>
      </c>
      <c r="CJ51" s="131"/>
      <c r="CK51" s="136">
        <f t="shared" si="45"/>
        <v>0</v>
      </c>
      <c r="CL51" s="136">
        <f t="shared" si="46"/>
        <v>804.25411383551102</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0</v>
      </c>
      <c r="DC51" s="131">
        <f t="shared" si="13"/>
        <v>0</v>
      </c>
      <c r="DD51" s="131">
        <f t="shared" si="55"/>
        <v>0</v>
      </c>
      <c r="DE51" s="131">
        <f t="shared" si="56"/>
        <v>0</v>
      </c>
      <c r="DF51" s="131">
        <f t="shared" si="57"/>
        <v>0</v>
      </c>
      <c r="DG51" s="131">
        <f t="shared" si="58"/>
        <v>0</v>
      </c>
      <c r="DH51" s="131"/>
      <c r="DI51" s="131"/>
      <c r="DJ51" s="131"/>
      <c r="DK51" s="137">
        <f t="shared" si="99"/>
        <v>4620.5129979953599</v>
      </c>
      <c r="DL51" s="227" t="e">
        <f t="shared" si="59"/>
        <v>#REF!</v>
      </c>
      <c r="DM51" s="227" t="e">
        <f t="shared" si="60"/>
        <v>#REF!</v>
      </c>
      <c r="DN51" s="228" t="e">
        <f t="shared" si="14"/>
        <v>#REF!</v>
      </c>
      <c r="DO51" s="228">
        <f t="shared" si="61"/>
        <v>194.35242757490622</v>
      </c>
      <c r="DP51" s="228" t="e">
        <f t="shared" si="62"/>
        <v>#REF!</v>
      </c>
      <c r="DQ51" s="228" t="e">
        <f t="shared" si="63"/>
        <v>#REF!</v>
      </c>
    </row>
    <row r="52" spans="1:121">
      <c r="A52" s="132">
        <f t="shared" si="15"/>
        <v>42</v>
      </c>
      <c r="B52" s="18">
        <f t="shared" si="64"/>
        <v>42</v>
      </c>
      <c r="C52" s="18">
        <f>IF(A52=0," ",VLOOKUP(B52,'tosafot '!$A$7:$B$234,2,0))</f>
        <v>6.2011000000000003</v>
      </c>
      <c r="D52" s="220">
        <f t="shared" si="65"/>
        <v>228</v>
      </c>
      <c r="E52" s="130">
        <f t="shared" si="66"/>
        <v>12.2026</v>
      </c>
      <c r="F52" s="126">
        <f t="shared" si="67"/>
        <v>22</v>
      </c>
      <c r="G52" s="18" t="str">
        <f t="shared" si="68"/>
        <v>התחבורה</v>
      </c>
      <c r="H52" s="189">
        <f t="shared" si="69"/>
        <v>122</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36.75</v>
      </c>
      <c r="R52" s="128">
        <f t="shared" si="78"/>
        <v>148</v>
      </c>
      <c r="S52" s="130">
        <f t="shared" si="79"/>
        <v>1.4414995494685181</v>
      </c>
      <c r="T52" s="135">
        <f t="shared" si="16"/>
        <v>0</v>
      </c>
      <c r="U52" s="127">
        <f t="shared" si="17"/>
        <v>0</v>
      </c>
      <c r="V52" s="217">
        <v>0</v>
      </c>
      <c r="W52" s="191">
        <v>0</v>
      </c>
      <c r="X52" s="133">
        <v>0</v>
      </c>
      <c r="Y52" s="131">
        <f t="shared" si="18"/>
        <v>2438.5</v>
      </c>
      <c r="Z52" s="131">
        <f t="shared" si="19"/>
        <v>1076.5966513789815</v>
      </c>
      <c r="AA52" s="242">
        <f t="shared" si="20"/>
        <v>3515.0966513789817</v>
      </c>
      <c r="AB52" s="131">
        <f t="shared" si="21"/>
        <v>0</v>
      </c>
      <c r="AC52" s="131">
        <f t="shared" si="22"/>
        <v>140.60386605515927</v>
      </c>
      <c r="AD52" s="131">
        <f t="shared" si="23"/>
        <v>0</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160.55836672570746</v>
      </c>
      <c r="CC52" s="131">
        <f t="shared" si="41"/>
        <v>0</v>
      </c>
      <c r="CD52" s="136">
        <f t="shared" si="42"/>
        <v>0</v>
      </c>
      <c r="CE52" s="131">
        <f t="shared" si="102"/>
        <v>0</v>
      </c>
      <c r="CF52" s="136">
        <f t="shared" si="43"/>
        <v>0</v>
      </c>
      <c r="CG52" s="136"/>
      <c r="CH52" s="136">
        <f t="shared" si="101"/>
        <v>0</v>
      </c>
      <c r="CI52" s="131">
        <f t="shared" si="44"/>
        <v>0</v>
      </c>
      <c r="CJ52" s="131"/>
      <c r="CK52" s="136">
        <f t="shared" si="45"/>
        <v>0</v>
      </c>
      <c r="CL52" s="136">
        <f t="shared" si="46"/>
        <v>804.25411383551102</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0</v>
      </c>
      <c r="DC52" s="131">
        <f t="shared" si="13"/>
        <v>0</v>
      </c>
      <c r="DD52" s="131">
        <f t="shared" si="55"/>
        <v>0</v>
      </c>
      <c r="DE52" s="131">
        <f t="shared" si="56"/>
        <v>0</v>
      </c>
      <c r="DF52" s="131">
        <f t="shared" si="57"/>
        <v>0</v>
      </c>
      <c r="DG52" s="131">
        <f t="shared" si="58"/>
        <v>0</v>
      </c>
      <c r="DH52" s="131"/>
      <c r="DI52" s="131"/>
      <c r="DJ52" s="131"/>
      <c r="DK52" s="137">
        <f t="shared" si="99"/>
        <v>4620.5129979953599</v>
      </c>
      <c r="DL52" s="227" t="e">
        <f t="shared" si="59"/>
        <v>#REF!</v>
      </c>
      <c r="DM52" s="227" t="e">
        <f t="shared" si="60"/>
        <v>#REF!</v>
      </c>
      <c r="DN52" s="228" t="e">
        <f t="shared" si="14"/>
        <v>#REF!</v>
      </c>
      <c r="DO52" s="228">
        <f t="shared" si="61"/>
        <v>194.35242757490622</v>
      </c>
      <c r="DP52" s="228" t="e">
        <f t="shared" si="62"/>
        <v>#REF!</v>
      </c>
      <c r="DQ52" s="228" t="e">
        <f t="shared" si="63"/>
        <v>#REF!</v>
      </c>
    </row>
    <row r="53" spans="1:121">
      <c r="A53" s="132">
        <f t="shared" si="15"/>
        <v>43</v>
      </c>
      <c r="B53" s="18">
        <f t="shared" si="64"/>
        <v>43</v>
      </c>
      <c r="C53" s="18">
        <f>IF(A53=0," ",VLOOKUP(B53,'tosafot '!$A$7:$B$234,2,0))</f>
        <v>7.2011000000000003</v>
      </c>
      <c r="D53" s="220">
        <f t="shared" si="65"/>
        <v>228</v>
      </c>
      <c r="E53" s="130">
        <f t="shared" si="66"/>
        <v>12.2026</v>
      </c>
      <c r="F53" s="126">
        <f t="shared" si="67"/>
        <v>22</v>
      </c>
      <c r="G53" s="18" t="str">
        <f t="shared" si="68"/>
        <v>התחבורה</v>
      </c>
      <c r="H53" s="189">
        <f t="shared" si="69"/>
        <v>122</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36.75</v>
      </c>
      <c r="R53" s="128">
        <f t="shared" si="78"/>
        <v>148</v>
      </c>
      <c r="S53" s="130">
        <f t="shared" si="79"/>
        <v>1.4414995494685181</v>
      </c>
      <c r="T53" s="135">
        <f t="shared" si="16"/>
        <v>0</v>
      </c>
      <c r="U53" s="127">
        <f t="shared" si="17"/>
        <v>0</v>
      </c>
      <c r="V53" s="217">
        <v>0</v>
      </c>
      <c r="W53" s="191">
        <v>0</v>
      </c>
      <c r="X53" s="133">
        <v>0</v>
      </c>
      <c r="Y53" s="131">
        <f t="shared" si="18"/>
        <v>2438.5</v>
      </c>
      <c r="Z53" s="131">
        <f t="shared" si="19"/>
        <v>1076.5966513789815</v>
      </c>
      <c r="AA53" s="242">
        <f t="shared" si="20"/>
        <v>3515.0966513789817</v>
      </c>
      <c r="AB53" s="131">
        <f t="shared" si="21"/>
        <v>0</v>
      </c>
      <c r="AC53" s="131">
        <f t="shared" si="22"/>
        <v>140.60386605515927</v>
      </c>
      <c r="AD53" s="131">
        <f t="shared" si="23"/>
        <v>0</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160.55836672570746</v>
      </c>
      <c r="CC53" s="131">
        <f t="shared" si="41"/>
        <v>0</v>
      </c>
      <c r="CD53" s="136">
        <f t="shared" si="42"/>
        <v>0</v>
      </c>
      <c r="CE53" s="131">
        <f t="shared" si="102"/>
        <v>0</v>
      </c>
      <c r="CF53" s="136">
        <f t="shared" si="43"/>
        <v>0</v>
      </c>
      <c r="CG53" s="136"/>
      <c r="CH53" s="136">
        <f t="shared" si="101"/>
        <v>0</v>
      </c>
      <c r="CI53" s="131">
        <f t="shared" si="44"/>
        <v>0</v>
      </c>
      <c r="CJ53" s="131"/>
      <c r="CK53" s="136">
        <f t="shared" si="45"/>
        <v>0</v>
      </c>
      <c r="CL53" s="136">
        <f t="shared" si="46"/>
        <v>804.25411383551102</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0</v>
      </c>
      <c r="DC53" s="131">
        <f t="shared" si="13"/>
        <v>0</v>
      </c>
      <c r="DD53" s="131">
        <f t="shared" si="55"/>
        <v>0</v>
      </c>
      <c r="DE53" s="131">
        <f t="shared" si="56"/>
        <v>0</v>
      </c>
      <c r="DF53" s="131">
        <f t="shared" si="57"/>
        <v>0</v>
      </c>
      <c r="DG53" s="131">
        <f t="shared" si="58"/>
        <v>0</v>
      </c>
      <c r="DH53" s="131"/>
      <c r="DI53" s="131"/>
      <c r="DJ53" s="131"/>
      <c r="DK53" s="137">
        <f t="shared" si="99"/>
        <v>4620.5129979953599</v>
      </c>
      <c r="DL53" s="227" t="e">
        <f t="shared" si="59"/>
        <v>#REF!</v>
      </c>
      <c r="DM53" s="227" t="e">
        <f t="shared" si="60"/>
        <v>#REF!</v>
      </c>
      <c r="DN53" s="228" t="e">
        <f t="shared" si="14"/>
        <v>#REF!</v>
      </c>
      <c r="DO53" s="228">
        <f t="shared" si="61"/>
        <v>194.35242757490622</v>
      </c>
      <c r="DP53" s="228" t="e">
        <f t="shared" si="62"/>
        <v>#REF!</v>
      </c>
      <c r="DQ53" s="228" t="e">
        <f t="shared" si="63"/>
        <v>#REF!</v>
      </c>
    </row>
    <row r="54" spans="1:121">
      <c r="A54" s="132">
        <f t="shared" si="15"/>
        <v>44</v>
      </c>
      <c r="B54" s="18">
        <f t="shared" si="64"/>
        <v>44</v>
      </c>
      <c r="C54" s="18">
        <f>IF(A54=0," ",VLOOKUP(B54,'tosafot '!$A$7:$B$234,2,0))</f>
        <v>8.2011000000000003</v>
      </c>
      <c r="D54" s="220">
        <f t="shared" si="65"/>
        <v>228</v>
      </c>
      <c r="E54" s="130">
        <f t="shared" si="66"/>
        <v>12.2026</v>
      </c>
      <c r="F54" s="126">
        <f t="shared" si="67"/>
        <v>22</v>
      </c>
      <c r="G54" s="18" t="str">
        <f t="shared" si="68"/>
        <v>התחבורה</v>
      </c>
      <c r="H54" s="189">
        <f t="shared" si="69"/>
        <v>122</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36.75</v>
      </c>
      <c r="R54" s="128">
        <f t="shared" si="78"/>
        <v>148</v>
      </c>
      <c r="S54" s="130">
        <f t="shared" si="79"/>
        <v>1.4414995494685181</v>
      </c>
      <c r="T54" s="135">
        <f t="shared" si="16"/>
        <v>0</v>
      </c>
      <c r="U54" s="127">
        <f t="shared" si="17"/>
        <v>0</v>
      </c>
      <c r="V54" s="217">
        <v>0</v>
      </c>
      <c r="W54" s="191">
        <v>0</v>
      </c>
      <c r="X54" s="133">
        <v>0</v>
      </c>
      <c r="Y54" s="131">
        <f t="shared" si="18"/>
        <v>2438.5</v>
      </c>
      <c r="Z54" s="131">
        <f t="shared" si="19"/>
        <v>1076.5966513789815</v>
      </c>
      <c r="AA54" s="242">
        <f t="shared" si="20"/>
        <v>3515.0966513789817</v>
      </c>
      <c r="AB54" s="131">
        <f t="shared" si="21"/>
        <v>0</v>
      </c>
      <c r="AC54" s="131">
        <f t="shared" si="22"/>
        <v>140.60386605515927</v>
      </c>
      <c r="AD54" s="131">
        <f t="shared" si="23"/>
        <v>0</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160.55836672570746</v>
      </c>
      <c r="CC54" s="131">
        <f t="shared" si="41"/>
        <v>0</v>
      </c>
      <c r="CD54" s="136">
        <f t="shared" si="42"/>
        <v>0</v>
      </c>
      <c r="CE54" s="131">
        <f t="shared" si="102"/>
        <v>0</v>
      </c>
      <c r="CF54" s="136">
        <f t="shared" si="43"/>
        <v>0</v>
      </c>
      <c r="CG54" s="136"/>
      <c r="CH54" s="136">
        <f t="shared" si="101"/>
        <v>0</v>
      </c>
      <c r="CI54" s="131">
        <f t="shared" si="44"/>
        <v>0</v>
      </c>
      <c r="CJ54" s="131"/>
      <c r="CK54" s="136">
        <f t="shared" si="45"/>
        <v>0</v>
      </c>
      <c r="CL54" s="136">
        <f t="shared" si="46"/>
        <v>804.25411383551102</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0</v>
      </c>
      <c r="DC54" s="131">
        <f t="shared" si="13"/>
        <v>0</v>
      </c>
      <c r="DD54" s="131">
        <f t="shared" si="55"/>
        <v>0</v>
      </c>
      <c r="DE54" s="131">
        <f t="shared" si="56"/>
        <v>0</v>
      </c>
      <c r="DF54" s="131">
        <f t="shared" si="57"/>
        <v>0</v>
      </c>
      <c r="DG54" s="131">
        <f t="shared" si="58"/>
        <v>0</v>
      </c>
      <c r="DH54" s="131"/>
      <c r="DI54" s="131"/>
      <c r="DJ54" s="131"/>
      <c r="DK54" s="137">
        <f t="shared" si="99"/>
        <v>4620.5129979953599</v>
      </c>
      <c r="DL54" s="227" t="e">
        <f t="shared" si="59"/>
        <v>#REF!</v>
      </c>
      <c r="DM54" s="227" t="e">
        <f t="shared" si="60"/>
        <v>#REF!</v>
      </c>
      <c r="DN54" s="228" t="e">
        <f t="shared" si="14"/>
        <v>#REF!</v>
      </c>
      <c r="DO54" s="228">
        <f t="shared" si="61"/>
        <v>194.35242757490622</v>
      </c>
      <c r="DP54" s="228" t="e">
        <f t="shared" si="62"/>
        <v>#REF!</v>
      </c>
      <c r="DQ54" s="228" t="e">
        <f t="shared" si="63"/>
        <v>#REF!</v>
      </c>
    </row>
    <row r="55" spans="1:121">
      <c r="A55" s="132">
        <f t="shared" si="15"/>
        <v>45</v>
      </c>
      <c r="B55" s="18">
        <f t="shared" si="64"/>
        <v>45</v>
      </c>
      <c r="C55" s="18">
        <f>IF(A55=0," ",VLOOKUP(B55,'tosafot '!$A$7:$B$234,2,0))</f>
        <v>9.2011000000000003</v>
      </c>
      <c r="D55" s="220">
        <f t="shared" si="65"/>
        <v>228</v>
      </c>
      <c r="E55" s="130">
        <f t="shared" si="66"/>
        <v>12.2026</v>
      </c>
      <c r="F55" s="126">
        <f t="shared" si="67"/>
        <v>22</v>
      </c>
      <c r="G55" s="18" t="str">
        <f t="shared" si="68"/>
        <v>התחבורה</v>
      </c>
      <c r="H55" s="189">
        <f t="shared" si="69"/>
        <v>122</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36.75</v>
      </c>
      <c r="R55" s="128">
        <f t="shared" si="78"/>
        <v>148</v>
      </c>
      <c r="S55" s="130">
        <f t="shared" si="79"/>
        <v>1.4414995494685181</v>
      </c>
      <c r="T55" s="135">
        <f t="shared" si="16"/>
        <v>0</v>
      </c>
      <c r="U55" s="127">
        <f t="shared" si="17"/>
        <v>0</v>
      </c>
      <c r="V55" s="217">
        <v>0</v>
      </c>
      <c r="W55" s="191">
        <v>0</v>
      </c>
      <c r="X55" s="133">
        <v>0</v>
      </c>
      <c r="Y55" s="131">
        <f t="shared" si="18"/>
        <v>2438.5</v>
      </c>
      <c r="Z55" s="131">
        <f t="shared" si="19"/>
        <v>1076.5966513789815</v>
      </c>
      <c r="AA55" s="242">
        <f t="shared" si="20"/>
        <v>3515.0966513789817</v>
      </c>
      <c r="AB55" s="131">
        <f t="shared" si="21"/>
        <v>0</v>
      </c>
      <c r="AC55" s="131">
        <f t="shared" si="22"/>
        <v>140.60386605515927</v>
      </c>
      <c r="AD55" s="131">
        <f t="shared" si="23"/>
        <v>0</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160.55836672570746</v>
      </c>
      <c r="CC55" s="131">
        <f t="shared" si="41"/>
        <v>0</v>
      </c>
      <c r="CD55" s="136">
        <f t="shared" si="42"/>
        <v>0</v>
      </c>
      <c r="CE55" s="131">
        <f t="shared" si="102"/>
        <v>0</v>
      </c>
      <c r="CF55" s="136">
        <f t="shared" si="43"/>
        <v>0</v>
      </c>
      <c r="CG55" s="136"/>
      <c r="CH55" s="136">
        <f t="shared" si="101"/>
        <v>0</v>
      </c>
      <c r="CI55" s="131">
        <f t="shared" si="44"/>
        <v>0</v>
      </c>
      <c r="CJ55" s="131"/>
      <c r="CK55" s="136">
        <f t="shared" si="45"/>
        <v>0</v>
      </c>
      <c r="CL55" s="136">
        <f t="shared" si="46"/>
        <v>804.25411383551102</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0</v>
      </c>
      <c r="DC55" s="131">
        <f t="shared" si="13"/>
        <v>0</v>
      </c>
      <c r="DD55" s="131">
        <f t="shared" si="55"/>
        <v>0</v>
      </c>
      <c r="DE55" s="131">
        <f t="shared" si="56"/>
        <v>0</v>
      </c>
      <c r="DF55" s="131">
        <f t="shared" si="57"/>
        <v>0</v>
      </c>
      <c r="DG55" s="131">
        <f t="shared" si="58"/>
        <v>0</v>
      </c>
      <c r="DH55" s="131"/>
      <c r="DI55" s="131"/>
      <c r="DJ55" s="131"/>
      <c r="DK55" s="137">
        <f t="shared" si="99"/>
        <v>4620.5129979953599</v>
      </c>
      <c r="DL55" s="227" t="e">
        <f t="shared" si="59"/>
        <v>#REF!</v>
      </c>
      <c r="DM55" s="227" t="e">
        <f t="shared" si="60"/>
        <v>#REF!</v>
      </c>
      <c r="DN55" s="228" t="e">
        <f t="shared" si="14"/>
        <v>#REF!</v>
      </c>
      <c r="DO55" s="228">
        <f t="shared" si="61"/>
        <v>194.35242757490622</v>
      </c>
      <c r="DP55" s="228" t="e">
        <f t="shared" si="62"/>
        <v>#REF!</v>
      </c>
      <c r="DQ55" s="228" t="e">
        <f t="shared" si="63"/>
        <v>#REF!</v>
      </c>
    </row>
    <row r="56" spans="1:121">
      <c r="A56" s="132">
        <f t="shared" si="15"/>
        <v>46</v>
      </c>
      <c r="B56" s="18">
        <f t="shared" si="64"/>
        <v>46</v>
      </c>
      <c r="C56" s="18">
        <f>IF(A56=0," ",VLOOKUP(B56,'tosafot '!$A$7:$B$234,2,0))</f>
        <v>10.2011</v>
      </c>
      <c r="D56" s="220">
        <f t="shared" si="65"/>
        <v>228</v>
      </c>
      <c r="E56" s="130">
        <f t="shared" si="66"/>
        <v>12.2026</v>
      </c>
      <c r="F56" s="126">
        <f t="shared" si="67"/>
        <v>22</v>
      </c>
      <c r="G56" s="18" t="str">
        <f t="shared" si="68"/>
        <v>התחבורה</v>
      </c>
      <c r="H56" s="189">
        <f t="shared" si="69"/>
        <v>122</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36.75</v>
      </c>
      <c r="R56" s="128">
        <f t="shared" si="78"/>
        <v>148</v>
      </c>
      <c r="S56" s="130">
        <f t="shared" si="79"/>
        <v>1.4414995494685181</v>
      </c>
      <c r="T56" s="135">
        <f t="shared" si="16"/>
        <v>0</v>
      </c>
      <c r="U56" s="127">
        <f t="shared" si="17"/>
        <v>0</v>
      </c>
      <c r="V56" s="217">
        <v>0</v>
      </c>
      <c r="W56" s="191">
        <v>0</v>
      </c>
      <c r="X56" s="133">
        <v>0</v>
      </c>
      <c r="Y56" s="131">
        <f t="shared" si="18"/>
        <v>2438.5</v>
      </c>
      <c r="Z56" s="131">
        <f t="shared" si="19"/>
        <v>1076.5966513789815</v>
      </c>
      <c r="AA56" s="242">
        <f t="shared" si="20"/>
        <v>3515.0966513789817</v>
      </c>
      <c r="AB56" s="131">
        <f t="shared" si="21"/>
        <v>0</v>
      </c>
      <c r="AC56" s="131">
        <f t="shared" si="22"/>
        <v>140.60386605515927</v>
      </c>
      <c r="AD56" s="131">
        <f t="shared" si="23"/>
        <v>0</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160.55836672570746</v>
      </c>
      <c r="CC56" s="131">
        <f t="shared" si="41"/>
        <v>0</v>
      </c>
      <c r="CD56" s="136">
        <f t="shared" si="42"/>
        <v>0</v>
      </c>
      <c r="CE56" s="131">
        <f t="shared" si="102"/>
        <v>0</v>
      </c>
      <c r="CF56" s="136">
        <f t="shared" si="43"/>
        <v>0</v>
      </c>
      <c r="CG56" s="136"/>
      <c r="CH56" s="136">
        <f t="shared" si="101"/>
        <v>0</v>
      </c>
      <c r="CI56" s="131">
        <f t="shared" si="44"/>
        <v>0</v>
      </c>
      <c r="CJ56" s="131"/>
      <c r="CK56" s="136">
        <f t="shared" si="45"/>
        <v>0</v>
      </c>
      <c r="CL56" s="136">
        <f t="shared" si="46"/>
        <v>804.25411383551102</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0</v>
      </c>
      <c r="DC56" s="131">
        <f t="shared" si="13"/>
        <v>0</v>
      </c>
      <c r="DD56" s="131">
        <f t="shared" si="55"/>
        <v>0</v>
      </c>
      <c r="DE56" s="131">
        <f t="shared" si="56"/>
        <v>0</v>
      </c>
      <c r="DF56" s="131">
        <f t="shared" si="57"/>
        <v>0</v>
      </c>
      <c r="DG56" s="131">
        <f t="shared" si="58"/>
        <v>0</v>
      </c>
      <c r="DH56" s="131"/>
      <c r="DI56" s="131"/>
      <c r="DJ56" s="131"/>
      <c r="DK56" s="137">
        <f t="shared" si="99"/>
        <v>4620.5129979953599</v>
      </c>
      <c r="DL56" s="227" t="e">
        <f t="shared" si="59"/>
        <v>#REF!</v>
      </c>
      <c r="DM56" s="227" t="e">
        <f t="shared" si="60"/>
        <v>#REF!</v>
      </c>
      <c r="DN56" s="228" t="e">
        <f t="shared" si="14"/>
        <v>#REF!</v>
      </c>
      <c r="DO56" s="228">
        <f t="shared" si="61"/>
        <v>194.35242757490622</v>
      </c>
      <c r="DP56" s="228" t="e">
        <f t="shared" si="62"/>
        <v>#REF!</v>
      </c>
      <c r="DQ56" s="228" t="e">
        <f t="shared" si="63"/>
        <v>#REF!</v>
      </c>
    </row>
    <row r="57" spans="1:121">
      <c r="A57" s="132">
        <f t="shared" si="15"/>
        <v>47</v>
      </c>
      <c r="B57" s="18">
        <f t="shared" si="64"/>
        <v>47</v>
      </c>
      <c r="C57" s="18">
        <f>IF(A57=0," ",VLOOKUP(B57,'tosafot '!$A$7:$B$234,2,0))</f>
        <v>11.2011</v>
      </c>
      <c r="D57" s="220">
        <f t="shared" si="65"/>
        <v>228</v>
      </c>
      <c r="E57" s="130">
        <f t="shared" si="66"/>
        <v>12.2026</v>
      </c>
      <c r="F57" s="126">
        <f t="shared" si="67"/>
        <v>22</v>
      </c>
      <c r="G57" s="18" t="str">
        <f t="shared" si="68"/>
        <v>התחבורה</v>
      </c>
      <c r="H57" s="189">
        <f t="shared" si="69"/>
        <v>122</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36.75</v>
      </c>
      <c r="R57" s="128">
        <f t="shared" si="78"/>
        <v>148</v>
      </c>
      <c r="S57" s="130">
        <f t="shared" si="79"/>
        <v>1.4414995494685181</v>
      </c>
      <c r="T57" s="135">
        <f t="shared" si="16"/>
        <v>0</v>
      </c>
      <c r="U57" s="127">
        <f t="shared" si="17"/>
        <v>0</v>
      </c>
      <c r="V57" s="217">
        <v>0</v>
      </c>
      <c r="W57" s="191">
        <v>0</v>
      </c>
      <c r="X57" s="133">
        <v>0</v>
      </c>
      <c r="Y57" s="131">
        <f t="shared" si="18"/>
        <v>2438.5</v>
      </c>
      <c r="Z57" s="131">
        <f t="shared" si="19"/>
        <v>1076.5966513789815</v>
      </c>
      <c r="AA57" s="242">
        <f t="shared" si="20"/>
        <v>3515.0966513789817</v>
      </c>
      <c r="AB57" s="131">
        <f t="shared" si="21"/>
        <v>0</v>
      </c>
      <c r="AC57" s="131">
        <f t="shared" si="22"/>
        <v>140.60386605515927</v>
      </c>
      <c r="AD57" s="131">
        <f t="shared" si="23"/>
        <v>0</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160.55836672570746</v>
      </c>
      <c r="CC57" s="131">
        <f t="shared" si="41"/>
        <v>0</v>
      </c>
      <c r="CD57" s="136">
        <f t="shared" si="42"/>
        <v>0</v>
      </c>
      <c r="CE57" s="131">
        <f t="shared" si="102"/>
        <v>0</v>
      </c>
      <c r="CF57" s="136">
        <f t="shared" si="43"/>
        <v>0</v>
      </c>
      <c r="CG57" s="136"/>
      <c r="CH57" s="136">
        <f t="shared" si="101"/>
        <v>0</v>
      </c>
      <c r="CI57" s="131">
        <f t="shared" si="44"/>
        <v>0</v>
      </c>
      <c r="CJ57" s="131"/>
      <c r="CK57" s="136">
        <f t="shared" si="45"/>
        <v>0</v>
      </c>
      <c r="CL57" s="136">
        <f t="shared" si="46"/>
        <v>804.25411383551102</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0</v>
      </c>
      <c r="DC57" s="131">
        <f t="shared" si="13"/>
        <v>0</v>
      </c>
      <c r="DD57" s="131">
        <f t="shared" si="55"/>
        <v>0</v>
      </c>
      <c r="DE57" s="131">
        <f t="shared" si="56"/>
        <v>0</v>
      </c>
      <c r="DF57" s="131">
        <f t="shared" si="57"/>
        <v>0</v>
      </c>
      <c r="DG57" s="131">
        <f t="shared" si="58"/>
        <v>0</v>
      </c>
      <c r="DH57" s="131"/>
      <c r="DI57" s="131"/>
      <c r="DJ57" s="131"/>
      <c r="DK57" s="137">
        <f t="shared" si="99"/>
        <v>4620.5129979953599</v>
      </c>
      <c r="DL57" s="227" t="e">
        <f t="shared" si="59"/>
        <v>#REF!</v>
      </c>
      <c r="DM57" s="227" t="e">
        <f t="shared" si="60"/>
        <v>#REF!</v>
      </c>
      <c r="DN57" s="228" t="e">
        <f t="shared" si="14"/>
        <v>#REF!</v>
      </c>
      <c r="DO57" s="228">
        <f t="shared" si="61"/>
        <v>194.35242757490622</v>
      </c>
      <c r="DP57" s="228" t="e">
        <f t="shared" si="62"/>
        <v>#REF!</v>
      </c>
      <c r="DQ57" s="228" t="e">
        <f t="shared" si="63"/>
        <v>#REF!</v>
      </c>
    </row>
    <row r="58" spans="1:121">
      <c r="A58" s="132">
        <f t="shared" si="15"/>
        <v>48</v>
      </c>
      <c r="B58" s="18">
        <f t="shared" si="64"/>
        <v>48</v>
      </c>
      <c r="C58" s="18">
        <f>IF(A58=0," ",VLOOKUP(B58,'tosafot '!$A$7:$B$234,2,0))</f>
        <v>12.2011</v>
      </c>
      <c r="D58" s="220">
        <f t="shared" si="65"/>
        <v>228</v>
      </c>
      <c r="E58" s="130">
        <f t="shared" si="66"/>
        <v>12.2026</v>
      </c>
      <c r="F58" s="126">
        <f t="shared" si="67"/>
        <v>22</v>
      </c>
      <c r="G58" s="18" t="str">
        <f t="shared" si="68"/>
        <v>התחבורה</v>
      </c>
      <c r="H58" s="189">
        <f t="shared" si="69"/>
        <v>122</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36.75</v>
      </c>
      <c r="R58" s="128">
        <f t="shared" si="78"/>
        <v>148</v>
      </c>
      <c r="S58" s="130">
        <f t="shared" si="79"/>
        <v>1.4414995494685181</v>
      </c>
      <c r="T58" s="135">
        <f t="shared" si="16"/>
        <v>0</v>
      </c>
      <c r="U58" s="127">
        <f t="shared" si="17"/>
        <v>0</v>
      </c>
      <c r="V58" s="217">
        <v>0</v>
      </c>
      <c r="W58" s="191">
        <v>0</v>
      </c>
      <c r="X58" s="133">
        <v>0</v>
      </c>
      <c r="Y58" s="131">
        <f t="shared" si="18"/>
        <v>2438.5</v>
      </c>
      <c r="Z58" s="131">
        <f t="shared" si="19"/>
        <v>1076.5966513789815</v>
      </c>
      <c r="AA58" s="242">
        <f t="shared" si="20"/>
        <v>3515.0966513789817</v>
      </c>
      <c r="AB58" s="131">
        <f t="shared" si="21"/>
        <v>0</v>
      </c>
      <c r="AC58" s="131">
        <f t="shared" si="22"/>
        <v>140.60386605515927</v>
      </c>
      <c r="AD58" s="131">
        <f t="shared" si="23"/>
        <v>0</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160.55836672570746</v>
      </c>
      <c r="CC58" s="131">
        <f t="shared" si="41"/>
        <v>0</v>
      </c>
      <c r="CD58" s="136">
        <f t="shared" si="42"/>
        <v>0</v>
      </c>
      <c r="CE58" s="131">
        <f t="shared" si="102"/>
        <v>0</v>
      </c>
      <c r="CF58" s="136">
        <f t="shared" si="43"/>
        <v>0</v>
      </c>
      <c r="CG58" s="136"/>
      <c r="CH58" s="136">
        <f t="shared" si="101"/>
        <v>0</v>
      </c>
      <c r="CI58" s="131">
        <f t="shared" si="44"/>
        <v>0</v>
      </c>
      <c r="CJ58" s="131"/>
      <c r="CK58" s="136">
        <f t="shared" si="45"/>
        <v>0</v>
      </c>
      <c r="CL58" s="136">
        <f t="shared" si="46"/>
        <v>804.25411383551102</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0</v>
      </c>
      <c r="DC58" s="131">
        <f t="shared" si="13"/>
        <v>0</v>
      </c>
      <c r="DD58" s="131">
        <f t="shared" si="55"/>
        <v>0</v>
      </c>
      <c r="DE58" s="131">
        <f t="shared" si="56"/>
        <v>0</v>
      </c>
      <c r="DF58" s="131">
        <f t="shared" si="57"/>
        <v>0</v>
      </c>
      <c r="DG58" s="131">
        <f t="shared" si="58"/>
        <v>0</v>
      </c>
      <c r="DH58" s="131"/>
      <c r="DI58" s="131"/>
      <c r="DJ58" s="131"/>
      <c r="DK58" s="137">
        <f t="shared" si="99"/>
        <v>4620.5129979953599</v>
      </c>
      <c r="DL58" s="227" t="e">
        <f t="shared" si="59"/>
        <v>#REF!</v>
      </c>
      <c r="DM58" s="227" t="e">
        <f t="shared" si="60"/>
        <v>#REF!</v>
      </c>
      <c r="DN58" s="228" t="e">
        <f t="shared" si="14"/>
        <v>#REF!</v>
      </c>
      <c r="DO58" s="228">
        <f t="shared" si="61"/>
        <v>194.35242757490622</v>
      </c>
      <c r="DP58" s="228" t="e">
        <f t="shared" si="62"/>
        <v>#REF!</v>
      </c>
      <c r="DQ58" s="228" t="e">
        <f t="shared" si="63"/>
        <v>#REF!</v>
      </c>
    </row>
    <row r="59" spans="1:121">
      <c r="A59" s="132">
        <f t="shared" si="15"/>
        <v>49</v>
      </c>
      <c r="B59" s="18">
        <f t="shared" si="64"/>
        <v>49</v>
      </c>
      <c r="C59" s="18">
        <f>IF(A59=0," ",VLOOKUP(B59,'tosafot '!$A$7:$B$234,2,0))</f>
        <v>1.2012</v>
      </c>
      <c r="D59" s="220">
        <f t="shared" si="65"/>
        <v>228</v>
      </c>
      <c r="E59" s="130">
        <f t="shared" si="66"/>
        <v>12.2026</v>
      </c>
      <c r="F59" s="126">
        <f t="shared" si="67"/>
        <v>22</v>
      </c>
      <c r="G59" s="18" t="str">
        <f t="shared" si="68"/>
        <v>התחבורה</v>
      </c>
      <c r="H59" s="189">
        <f t="shared" si="69"/>
        <v>122</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36.75</v>
      </c>
      <c r="R59" s="128">
        <f t="shared" si="78"/>
        <v>148</v>
      </c>
      <c r="S59" s="130">
        <f t="shared" si="79"/>
        <v>1.4414995494685181</v>
      </c>
      <c r="T59" s="135">
        <f t="shared" si="16"/>
        <v>0</v>
      </c>
      <c r="U59" s="127">
        <f t="shared" si="17"/>
        <v>0</v>
      </c>
      <c r="V59" s="217">
        <v>0</v>
      </c>
      <c r="W59" s="191">
        <v>0</v>
      </c>
      <c r="X59" s="133">
        <v>0</v>
      </c>
      <c r="Y59" s="131">
        <f t="shared" si="18"/>
        <v>2438.5</v>
      </c>
      <c r="Z59" s="131">
        <f t="shared" si="19"/>
        <v>1076.5966513789815</v>
      </c>
      <c r="AA59" s="242">
        <f t="shared" si="20"/>
        <v>3515.0966513789817</v>
      </c>
      <c r="AB59" s="131">
        <f t="shared" si="21"/>
        <v>0</v>
      </c>
      <c r="AC59" s="131">
        <f t="shared" si="22"/>
        <v>140.60386605515927</v>
      </c>
      <c r="AD59" s="131">
        <f t="shared" si="23"/>
        <v>0</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160.55836672570746</v>
      </c>
      <c r="CC59" s="131">
        <f t="shared" si="41"/>
        <v>0</v>
      </c>
      <c r="CD59" s="136">
        <f t="shared" si="42"/>
        <v>0</v>
      </c>
      <c r="CE59" s="131">
        <f t="shared" si="102"/>
        <v>0</v>
      </c>
      <c r="CF59" s="136">
        <f t="shared" si="43"/>
        <v>0</v>
      </c>
      <c r="CG59" s="136"/>
      <c r="CH59" s="136">
        <f t="shared" si="101"/>
        <v>0</v>
      </c>
      <c r="CI59" s="131">
        <f t="shared" si="44"/>
        <v>0</v>
      </c>
      <c r="CJ59" s="131"/>
      <c r="CK59" s="136">
        <f t="shared" si="45"/>
        <v>0</v>
      </c>
      <c r="CL59" s="136">
        <f t="shared" si="46"/>
        <v>804.25411383551102</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0</v>
      </c>
      <c r="DC59" s="131">
        <f t="shared" si="13"/>
        <v>0</v>
      </c>
      <c r="DD59" s="131">
        <f t="shared" si="55"/>
        <v>0</v>
      </c>
      <c r="DE59" s="131">
        <f t="shared" si="56"/>
        <v>0</v>
      </c>
      <c r="DF59" s="131">
        <f t="shared" si="57"/>
        <v>0</v>
      </c>
      <c r="DG59" s="131">
        <f t="shared" si="58"/>
        <v>0</v>
      </c>
      <c r="DH59" s="131"/>
      <c r="DI59" s="131"/>
      <c r="DJ59" s="131"/>
      <c r="DK59" s="137">
        <f t="shared" si="99"/>
        <v>4620.5129979953599</v>
      </c>
      <c r="DL59" s="227" t="e">
        <f t="shared" si="59"/>
        <v>#REF!</v>
      </c>
      <c r="DM59" s="227" t="e">
        <f t="shared" si="60"/>
        <v>#REF!</v>
      </c>
      <c r="DN59" s="228" t="e">
        <f t="shared" si="14"/>
        <v>#REF!</v>
      </c>
      <c r="DO59" s="228">
        <f t="shared" si="61"/>
        <v>194.35242757490622</v>
      </c>
      <c r="DP59" s="228" t="e">
        <f t="shared" si="62"/>
        <v>#REF!</v>
      </c>
      <c r="DQ59" s="228" t="e">
        <f t="shared" si="63"/>
        <v>#REF!</v>
      </c>
    </row>
    <row r="60" spans="1:121">
      <c r="A60" s="132">
        <f t="shared" si="15"/>
        <v>50</v>
      </c>
      <c r="B60" s="18">
        <f t="shared" si="64"/>
        <v>50</v>
      </c>
      <c r="C60" s="18">
        <f>IF(A60=0," ",VLOOKUP(B60,'tosafot '!$A$7:$B$234,2,0))</f>
        <v>2.2012</v>
      </c>
      <c r="D60" s="220">
        <f t="shared" si="65"/>
        <v>228</v>
      </c>
      <c r="E60" s="130">
        <f t="shared" si="66"/>
        <v>12.2026</v>
      </c>
      <c r="F60" s="126">
        <f t="shared" si="67"/>
        <v>22</v>
      </c>
      <c r="G60" s="18" t="str">
        <f t="shared" si="68"/>
        <v>התחבורה</v>
      </c>
      <c r="H60" s="189">
        <f t="shared" si="69"/>
        <v>122</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36.75</v>
      </c>
      <c r="R60" s="128">
        <f t="shared" si="78"/>
        <v>148</v>
      </c>
      <c r="S60" s="130">
        <f t="shared" si="79"/>
        <v>1.4414995494685181</v>
      </c>
      <c r="T60" s="135">
        <f t="shared" si="16"/>
        <v>0</v>
      </c>
      <c r="U60" s="127">
        <f t="shared" si="17"/>
        <v>0</v>
      </c>
      <c r="V60" s="217">
        <v>0</v>
      </c>
      <c r="W60" s="191">
        <v>0</v>
      </c>
      <c r="X60" s="133">
        <v>0</v>
      </c>
      <c r="Y60" s="131">
        <f t="shared" si="18"/>
        <v>2438.5</v>
      </c>
      <c r="Z60" s="131">
        <f t="shared" si="19"/>
        <v>1076.5966513789815</v>
      </c>
      <c r="AA60" s="242">
        <f t="shared" si="20"/>
        <v>3515.0966513789817</v>
      </c>
      <c r="AB60" s="131">
        <f t="shared" si="21"/>
        <v>0</v>
      </c>
      <c r="AC60" s="131">
        <f t="shared" si="22"/>
        <v>140.60386605515927</v>
      </c>
      <c r="AD60" s="131">
        <f t="shared" si="23"/>
        <v>0</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160.55836672570746</v>
      </c>
      <c r="CC60" s="131">
        <f t="shared" si="41"/>
        <v>0</v>
      </c>
      <c r="CD60" s="136">
        <f t="shared" si="42"/>
        <v>0</v>
      </c>
      <c r="CE60" s="131">
        <f t="shared" si="102"/>
        <v>0</v>
      </c>
      <c r="CF60" s="136">
        <f t="shared" si="43"/>
        <v>0</v>
      </c>
      <c r="CG60" s="136"/>
      <c r="CH60" s="136">
        <f t="shared" si="101"/>
        <v>0</v>
      </c>
      <c r="CI60" s="131">
        <f t="shared" si="44"/>
        <v>0</v>
      </c>
      <c r="CJ60" s="131"/>
      <c r="CK60" s="136">
        <f t="shared" si="45"/>
        <v>0</v>
      </c>
      <c r="CL60" s="136">
        <f t="shared" si="46"/>
        <v>804.25411383551102</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0</v>
      </c>
      <c r="DC60" s="131">
        <f t="shared" si="13"/>
        <v>0</v>
      </c>
      <c r="DD60" s="131">
        <f t="shared" si="55"/>
        <v>0</v>
      </c>
      <c r="DE60" s="131">
        <f t="shared" si="56"/>
        <v>0</v>
      </c>
      <c r="DF60" s="131">
        <f t="shared" si="57"/>
        <v>0</v>
      </c>
      <c r="DG60" s="131">
        <f t="shared" si="58"/>
        <v>0</v>
      </c>
      <c r="DH60" s="131"/>
      <c r="DI60" s="131"/>
      <c r="DJ60" s="131"/>
      <c r="DK60" s="137">
        <f t="shared" si="99"/>
        <v>4620.5129979953599</v>
      </c>
      <c r="DL60" s="227" t="e">
        <f t="shared" si="59"/>
        <v>#REF!</v>
      </c>
      <c r="DM60" s="227" t="e">
        <f t="shared" si="60"/>
        <v>#REF!</v>
      </c>
      <c r="DN60" s="228" t="e">
        <f t="shared" si="14"/>
        <v>#REF!</v>
      </c>
      <c r="DO60" s="228">
        <f t="shared" si="61"/>
        <v>194.35242757490622</v>
      </c>
      <c r="DP60" s="228" t="e">
        <f t="shared" si="62"/>
        <v>#REF!</v>
      </c>
      <c r="DQ60" s="228" t="e">
        <f t="shared" si="63"/>
        <v>#REF!</v>
      </c>
    </row>
    <row r="61" spans="1:121">
      <c r="A61" s="132">
        <f t="shared" si="15"/>
        <v>51</v>
      </c>
      <c r="B61" s="18">
        <f t="shared" si="64"/>
        <v>51</v>
      </c>
      <c r="C61" s="18">
        <f>IF(A61=0," ",VLOOKUP(B61,'tosafot '!$A$7:$B$234,2,0))</f>
        <v>3.2012</v>
      </c>
      <c r="D61" s="220">
        <f t="shared" si="65"/>
        <v>228</v>
      </c>
      <c r="E61" s="130">
        <f t="shared" si="66"/>
        <v>12.2026</v>
      </c>
      <c r="F61" s="126">
        <f t="shared" si="67"/>
        <v>22</v>
      </c>
      <c r="G61" s="18" t="str">
        <f t="shared" si="68"/>
        <v>התחבורה</v>
      </c>
      <c r="H61" s="189">
        <f t="shared" si="69"/>
        <v>122</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36.75</v>
      </c>
      <c r="R61" s="128">
        <f t="shared" si="78"/>
        <v>148</v>
      </c>
      <c r="S61" s="130">
        <f t="shared" si="79"/>
        <v>1.4414995494685181</v>
      </c>
      <c r="T61" s="135">
        <f t="shared" si="16"/>
        <v>0</v>
      </c>
      <c r="U61" s="127">
        <f t="shared" si="17"/>
        <v>0</v>
      </c>
      <c r="V61" s="217">
        <v>0</v>
      </c>
      <c r="W61" s="191">
        <v>0</v>
      </c>
      <c r="X61" s="133">
        <v>0</v>
      </c>
      <c r="Y61" s="131">
        <f t="shared" si="18"/>
        <v>2438.5</v>
      </c>
      <c r="Z61" s="131">
        <f t="shared" si="19"/>
        <v>1076.5966513789815</v>
      </c>
      <c r="AA61" s="242">
        <f t="shared" si="20"/>
        <v>3515.0966513789817</v>
      </c>
      <c r="AB61" s="131">
        <f t="shared" si="21"/>
        <v>0</v>
      </c>
      <c r="AC61" s="131">
        <f t="shared" si="22"/>
        <v>140.60386605515927</v>
      </c>
      <c r="AD61" s="131">
        <f t="shared" si="23"/>
        <v>0</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160.55836672570746</v>
      </c>
      <c r="CC61" s="131">
        <f t="shared" si="41"/>
        <v>0</v>
      </c>
      <c r="CD61" s="136">
        <f t="shared" si="42"/>
        <v>0</v>
      </c>
      <c r="CE61" s="131">
        <f t="shared" si="102"/>
        <v>0</v>
      </c>
      <c r="CF61" s="136">
        <f t="shared" si="43"/>
        <v>0</v>
      </c>
      <c r="CG61" s="136"/>
      <c r="CH61" s="136">
        <f t="shared" si="101"/>
        <v>0</v>
      </c>
      <c r="CI61" s="131">
        <f t="shared" si="44"/>
        <v>0</v>
      </c>
      <c r="CJ61" s="131"/>
      <c r="CK61" s="136">
        <f t="shared" si="45"/>
        <v>0</v>
      </c>
      <c r="CL61" s="136">
        <f t="shared" si="46"/>
        <v>804.25411383551102</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0</v>
      </c>
      <c r="DC61" s="131">
        <f t="shared" si="13"/>
        <v>0</v>
      </c>
      <c r="DD61" s="131">
        <f t="shared" si="55"/>
        <v>0</v>
      </c>
      <c r="DE61" s="131">
        <f t="shared" si="56"/>
        <v>0</v>
      </c>
      <c r="DF61" s="131">
        <f t="shared" si="57"/>
        <v>0</v>
      </c>
      <c r="DG61" s="131">
        <f t="shared" si="58"/>
        <v>0</v>
      </c>
      <c r="DH61" s="131"/>
      <c r="DI61" s="131"/>
      <c r="DJ61" s="131"/>
      <c r="DK61" s="137">
        <f t="shared" si="99"/>
        <v>4620.5129979953599</v>
      </c>
      <c r="DL61" s="227" t="e">
        <f t="shared" si="59"/>
        <v>#REF!</v>
      </c>
      <c r="DM61" s="227" t="e">
        <f t="shared" si="60"/>
        <v>#REF!</v>
      </c>
      <c r="DN61" s="228" t="e">
        <f t="shared" si="14"/>
        <v>#REF!</v>
      </c>
      <c r="DO61" s="228">
        <f t="shared" si="61"/>
        <v>194.35242757490622</v>
      </c>
      <c r="DP61" s="228" t="e">
        <f t="shared" si="62"/>
        <v>#REF!</v>
      </c>
      <c r="DQ61" s="228" t="e">
        <f t="shared" si="63"/>
        <v>#REF!</v>
      </c>
    </row>
    <row r="62" spans="1:121">
      <c r="A62" s="132">
        <f t="shared" si="15"/>
        <v>52</v>
      </c>
      <c r="B62" s="18">
        <f t="shared" si="64"/>
        <v>52</v>
      </c>
      <c r="C62" s="18">
        <f>IF(A62=0," ",VLOOKUP(B62,'tosafot '!$A$7:$B$234,2,0))</f>
        <v>4.2012</v>
      </c>
      <c r="D62" s="220">
        <f t="shared" si="65"/>
        <v>228</v>
      </c>
      <c r="E62" s="130">
        <f t="shared" si="66"/>
        <v>12.2026</v>
      </c>
      <c r="F62" s="126">
        <f t="shared" si="67"/>
        <v>22</v>
      </c>
      <c r="G62" s="18" t="str">
        <f t="shared" si="68"/>
        <v>התחבורה</v>
      </c>
      <c r="H62" s="189">
        <f t="shared" si="69"/>
        <v>122</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36.75</v>
      </c>
      <c r="R62" s="128">
        <f t="shared" si="78"/>
        <v>148</v>
      </c>
      <c r="S62" s="130">
        <f t="shared" si="79"/>
        <v>1.4414995494685181</v>
      </c>
      <c r="T62" s="135">
        <f t="shared" si="16"/>
        <v>0</v>
      </c>
      <c r="U62" s="127">
        <f t="shared" si="17"/>
        <v>0</v>
      </c>
      <c r="V62" s="217">
        <v>0</v>
      </c>
      <c r="W62" s="191">
        <v>0</v>
      </c>
      <c r="X62" s="133">
        <v>0</v>
      </c>
      <c r="Y62" s="131">
        <f t="shared" si="18"/>
        <v>2438.5</v>
      </c>
      <c r="Z62" s="131">
        <f t="shared" si="19"/>
        <v>1076.5966513789815</v>
      </c>
      <c r="AA62" s="242">
        <f t="shared" si="20"/>
        <v>3515.0966513789817</v>
      </c>
      <c r="AB62" s="131">
        <f t="shared" si="21"/>
        <v>0</v>
      </c>
      <c r="AC62" s="131">
        <f t="shared" si="22"/>
        <v>140.60386605515927</v>
      </c>
      <c r="AD62" s="131">
        <f t="shared" si="23"/>
        <v>0</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160.55836672570746</v>
      </c>
      <c r="CC62" s="131">
        <f t="shared" si="41"/>
        <v>0</v>
      </c>
      <c r="CD62" s="136">
        <f t="shared" si="42"/>
        <v>0</v>
      </c>
      <c r="CE62" s="131">
        <f t="shared" si="102"/>
        <v>0</v>
      </c>
      <c r="CF62" s="136">
        <f t="shared" si="43"/>
        <v>0</v>
      </c>
      <c r="CG62" s="136"/>
      <c r="CH62" s="136">
        <f t="shared" si="101"/>
        <v>0</v>
      </c>
      <c r="CI62" s="131">
        <f t="shared" si="44"/>
        <v>0</v>
      </c>
      <c r="CJ62" s="131"/>
      <c r="CK62" s="136">
        <f t="shared" si="45"/>
        <v>0</v>
      </c>
      <c r="CL62" s="136">
        <f t="shared" si="46"/>
        <v>804.25411383551102</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0</v>
      </c>
      <c r="DC62" s="131">
        <f t="shared" si="13"/>
        <v>0</v>
      </c>
      <c r="DD62" s="131">
        <f t="shared" si="55"/>
        <v>0</v>
      </c>
      <c r="DE62" s="131">
        <f t="shared" si="56"/>
        <v>0</v>
      </c>
      <c r="DF62" s="131">
        <f t="shared" si="57"/>
        <v>0</v>
      </c>
      <c r="DG62" s="131">
        <f t="shared" si="58"/>
        <v>0</v>
      </c>
      <c r="DH62" s="131"/>
      <c r="DI62" s="131"/>
      <c r="DJ62" s="131"/>
      <c r="DK62" s="137">
        <f t="shared" si="99"/>
        <v>4620.5129979953599</v>
      </c>
      <c r="DL62" s="227" t="e">
        <f t="shared" si="59"/>
        <v>#REF!</v>
      </c>
      <c r="DM62" s="227" t="e">
        <f t="shared" si="60"/>
        <v>#REF!</v>
      </c>
      <c r="DN62" s="228" t="e">
        <f t="shared" si="14"/>
        <v>#REF!</v>
      </c>
      <c r="DO62" s="228">
        <f t="shared" si="61"/>
        <v>194.35242757490622</v>
      </c>
      <c r="DP62" s="228" t="e">
        <f t="shared" si="62"/>
        <v>#REF!</v>
      </c>
      <c r="DQ62" s="228" t="e">
        <f t="shared" si="63"/>
        <v>#REF!</v>
      </c>
    </row>
    <row r="63" spans="1:121">
      <c r="A63" s="132">
        <f t="shared" si="15"/>
        <v>53</v>
      </c>
      <c r="B63" s="18">
        <f t="shared" si="64"/>
        <v>53</v>
      </c>
      <c r="C63" s="18">
        <f>IF(A63=0," ",VLOOKUP(B63,'tosafot '!$A$7:$B$234,2,0))</f>
        <v>5.2012</v>
      </c>
      <c r="D63" s="220">
        <f t="shared" si="65"/>
        <v>228</v>
      </c>
      <c r="E63" s="130">
        <f t="shared" si="66"/>
        <v>12.2026</v>
      </c>
      <c r="F63" s="126">
        <f t="shared" si="67"/>
        <v>22</v>
      </c>
      <c r="G63" s="18" t="str">
        <f t="shared" si="68"/>
        <v>התחבורה</v>
      </c>
      <c r="H63" s="189">
        <f t="shared" si="69"/>
        <v>122</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36.75</v>
      </c>
      <c r="R63" s="128">
        <f t="shared" si="78"/>
        <v>148</v>
      </c>
      <c r="S63" s="130">
        <f t="shared" si="79"/>
        <v>1.4414995494685181</v>
      </c>
      <c r="T63" s="135">
        <f t="shared" si="16"/>
        <v>0</v>
      </c>
      <c r="U63" s="127">
        <f t="shared" si="17"/>
        <v>0</v>
      </c>
      <c r="V63" s="217">
        <v>0</v>
      </c>
      <c r="W63" s="191">
        <v>0</v>
      </c>
      <c r="X63" s="133">
        <v>0</v>
      </c>
      <c r="Y63" s="131">
        <f t="shared" si="18"/>
        <v>2438.5</v>
      </c>
      <c r="Z63" s="131">
        <f t="shared" si="19"/>
        <v>1076.5966513789815</v>
      </c>
      <c r="AA63" s="242">
        <f t="shared" si="20"/>
        <v>3515.0966513789817</v>
      </c>
      <c r="AB63" s="131">
        <f t="shared" si="21"/>
        <v>0</v>
      </c>
      <c r="AC63" s="131">
        <f t="shared" si="22"/>
        <v>140.60386605515927</v>
      </c>
      <c r="AD63" s="131">
        <f t="shared" si="23"/>
        <v>0</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160.55836672570746</v>
      </c>
      <c r="CC63" s="131">
        <f t="shared" si="41"/>
        <v>0</v>
      </c>
      <c r="CD63" s="136">
        <f t="shared" si="42"/>
        <v>0</v>
      </c>
      <c r="CE63" s="131">
        <f t="shared" si="102"/>
        <v>0</v>
      </c>
      <c r="CF63" s="136">
        <f t="shared" si="43"/>
        <v>0</v>
      </c>
      <c r="CG63" s="136"/>
      <c r="CH63" s="136">
        <f t="shared" si="101"/>
        <v>0</v>
      </c>
      <c r="CI63" s="131">
        <f t="shared" si="44"/>
        <v>0</v>
      </c>
      <c r="CJ63" s="131"/>
      <c r="CK63" s="136">
        <f t="shared" si="45"/>
        <v>0</v>
      </c>
      <c r="CL63" s="136">
        <f t="shared" si="46"/>
        <v>804.25411383551102</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0</v>
      </c>
      <c r="DC63" s="131">
        <f t="shared" si="13"/>
        <v>0</v>
      </c>
      <c r="DD63" s="131">
        <f t="shared" si="55"/>
        <v>0</v>
      </c>
      <c r="DE63" s="131">
        <f t="shared" si="56"/>
        <v>0</v>
      </c>
      <c r="DF63" s="131">
        <f t="shared" si="57"/>
        <v>0</v>
      </c>
      <c r="DG63" s="131">
        <f t="shared" si="58"/>
        <v>0</v>
      </c>
      <c r="DH63" s="131"/>
      <c r="DI63" s="131"/>
      <c r="DJ63" s="131"/>
      <c r="DK63" s="137">
        <f t="shared" si="99"/>
        <v>4620.5129979953599</v>
      </c>
      <c r="DL63" s="227" t="e">
        <f t="shared" si="59"/>
        <v>#REF!</v>
      </c>
      <c r="DM63" s="227" t="e">
        <f t="shared" si="60"/>
        <v>#REF!</v>
      </c>
      <c r="DN63" s="228" t="e">
        <f t="shared" si="14"/>
        <v>#REF!</v>
      </c>
      <c r="DO63" s="228">
        <f t="shared" si="61"/>
        <v>194.35242757490622</v>
      </c>
      <c r="DP63" s="228" t="e">
        <f t="shared" si="62"/>
        <v>#REF!</v>
      </c>
      <c r="DQ63" s="228" t="e">
        <f t="shared" si="63"/>
        <v>#REF!</v>
      </c>
    </row>
    <row r="64" spans="1:121">
      <c r="A64" s="132">
        <f t="shared" si="15"/>
        <v>54</v>
      </c>
      <c r="B64" s="18">
        <f t="shared" si="64"/>
        <v>54</v>
      </c>
      <c r="C64" s="18">
        <f>IF(A64=0," ",VLOOKUP(B64,'tosafot '!$A$7:$B$234,2,0))</f>
        <v>6.2012</v>
      </c>
      <c r="D64" s="220">
        <f t="shared" si="65"/>
        <v>228</v>
      </c>
      <c r="E64" s="130">
        <f t="shared" si="66"/>
        <v>12.2026</v>
      </c>
      <c r="F64" s="126">
        <f t="shared" si="67"/>
        <v>22</v>
      </c>
      <c r="G64" s="18" t="str">
        <f t="shared" si="68"/>
        <v>התחבורה</v>
      </c>
      <c r="H64" s="189">
        <f t="shared" si="69"/>
        <v>122</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36.75</v>
      </c>
      <c r="R64" s="128">
        <f t="shared" si="78"/>
        <v>148</v>
      </c>
      <c r="S64" s="130">
        <f t="shared" si="79"/>
        <v>1.4414995494685181</v>
      </c>
      <c r="T64" s="135">
        <f t="shared" si="16"/>
        <v>0</v>
      </c>
      <c r="U64" s="127">
        <f t="shared" si="17"/>
        <v>0</v>
      </c>
      <c r="V64" s="217">
        <v>0</v>
      </c>
      <c r="W64" s="191">
        <v>0</v>
      </c>
      <c r="X64" s="133">
        <v>0</v>
      </c>
      <c r="Y64" s="131">
        <f t="shared" si="18"/>
        <v>2438.5</v>
      </c>
      <c r="Z64" s="131">
        <f t="shared" si="19"/>
        <v>1076.5966513789815</v>
      </c>
      <c r="AA64" s="242">
        <f t="shared" si="20"/>
        <v>3515.0966513789817</v>
      </c>
      <c r="AB64" s="131">
        <f t="shared" si="21"/>
        <v>0</v>
      </c>
      <c r="AC64" s="131">
        <f t="shared" si="22"/>
        <v>140.60386605515927</v>
      </c>
      <c r="AD64" s="131">
        <f t="shared" si="23"/>
        <v>0</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160.55836672570746</v>
      </c>
      <c r="CC64" s="131">
        <f t="shared" si="41"/>
        <v>0</v>
      </c>
      <c r="CD64" s="136">
        <f t="shared" si="42"/>
        <v>0</v>
      </c>
      <c r="CE64" s="131">
        <f t="shared" si="102"/>
        <v>0</v>
      </c>
      <c r="CF64" s="136">
        <f t="shared" si="43"/>
        <v>0</v>
      </c>
      <c r="CG64" s="136"/>
      <c r="CH64" s="136">
        <f t="shared" si="101"/>
        <v>0</v>
      </c>
      <c r="CI64" s="131">
        <f t="shared" si="44"/>
        <v>0</v>
      </c>
      <c r="CJ64" s="131"/>
      <c r="CK64" s="136">
        <f t="shared" si="45"/>
        <v>0</v>
      </c>
      <c r="CL64" s="136">
        <f t="shared" si="46"/>
        <v>804.25411383551102</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0</v>
      </c>
      <c r="DC64" s="131">
        <f t="shared" si="13"/>
        <v>0</v>
      </c>
      <c r="DD64" s="131">
        <f t="shared" si="55"/>
        <v>0</v>
      </c>
      <c r="DE64" s="131">
        <f t="shared" si="56"/>
        <v>0</v>
      </c>
      <c r="DF64" s="131">
        <f t="shared" si="57"/>
        <v>0</v>
      </c>
      <c r="DG64" s="131">
        <f t="shared" si="58"/>
        <v>0</v>
      </c>
      <c r="DH64" s="131"/>
      <c r="DI64" s="131"/>
      <c r="DJ64" s="131"/>
      <c r="DK64" s="137">
        <f t="shared" si="99"/>
        <v>4620.5129979953599</v>
      </c>
      <c r="DL64" s="227" t="e">
        <f t="shared" si="59"/>
        <v>#REF!</v>
      </c>
      <c r="DM64" s="227" t="e">
        <f t="shared" si="60"/>
        <v>#REF!</v>
      </c>
      <c r="DN64" s="228" t="e">
        <f t="shared" si="14"/>
        <v>#REF!</v>
      </c>
      <c r="DO64" s="228">
        <f t="shared" si="61"/>
        <v>194.35242757490622</v>
      </c>
      <c r="DP64" s="228" t="e">
        <f t="shared" si="62"/>
        <v>#REF!</v>
      </c>
      <c r="DQ64" s="228" t="e">
        <f t="shared" si="63"/>
        <v>#REF!</v>
      </c>
    </row>
    <row r="65" spans="1:121">
      <c r="A65" s="132">
        <f t="shared" si="15"/>
        <v>55</v>
      </c>
      <c r="B65" s="18">
        <f t="shared" si="64"/>
        <v>55</v>
      </c>
      <c r="C65" s="18">
        <f>IF(A65=0," ",VLOOKUP(B65,'tosafot '!$A$7:$B$234,2,0))</f>
        <v>7.2012</v>
      </c>
      <c r="D65" s="220">
        <f t="shared" si="65"/>
        <v>228</v>
      </c>
      <c r="E65" s="130">
        <f t="shared" si="66"/>
        <v>12.2026</v>
      </c>
      <c r="F65" s="126">
        <f t="shared" si="67"/>
        <v>22</v>
      </c>
      <c r="G65" s="18" t="str">
        <f t="shared" si="68"/>
        <v>התחבורה</v>
      </c>
      <c r="H65" s="189">
        <f t="shared" si="69"/>
        <v>122</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36.75</v>
      </c>
      <c r="R65" s="128">
        <f t="shared" si="78"/>
        <v>148</v>
      </c>
      <c r="S65" s="130">
        <f t="shared" si="79"/>
        <v>1.4414995494685181</v>
      </c>
      <c r="T65" s="135">
        <f t="shared" si="16"/>
        <v>0</v>
      </c>
      <c r="U65" s="127">
        <f t="shared" si="17"/>
        <v>0</v>
      </c>
      <c r="V65" s="217">
        <v>0</v>
      </c>
      <c r="W65" s="191">
        <v>0</v>
      </c>
      <c r="X65" s="133">
        <v>0</v>
      </c>
      <c r="Y65" s="131">
        <f t="shared" si="18"/>
        <v>2438.5</v>
      </c>
      <c r="Z65" s="131">
        <f t="shared" si="19"/>
        <v>1076.5966513789815</v>
      </c>
      <c r="AA65" s="242">
        <f t="shared" si="20"/>
        <v>3515.0966513789817</v>
      </c>
      <c r="AB65" s="131">
        <f t="shared" si="21"/>
        <v>0</v>
      </c>
      <c r="AC65" s="131">
        <f t="shared" si="22"/>
        <v>140.60386605515927</v>
      </c>
      <c r="AD65" s="131">
        <f t="shared" si="23"/>
        <v>0</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160.55836672570746</v>
      </c>
      <c r="CC65" s="131">
        <f t="shared" si="41"/>
        <v>0</v>
      </c>
      <c r="CD65" s="136">
        <f t="shared" si="42"/>
        <v>0</v>
      </c>
      <c r="CE65" s="131">
        <f t="shared" si="102"/>
        <v>0</v>
      </c>
      <c r="CF65" s="136">
        <f t="shared" si="43"/>
        <v>0</v>
      </c>
      <c r="CG65" s="136"/>
      <c r="CH65" s="136">
        <f t="shared" si="101"/>
        <v>0</v>
      </c>
      <c r="CI65" s="131">
        <f t="shared" si="44"/>
        <v>0</v>
      </c>
      <c r="CJ65" s="131"/>
      <c r="CK65" s="136">
        <f t="shared" si="45"/>
        <v>0</v>
      </c>
      <c r="CL65" s="136">
        <f t="shared" si="46"/>
        <v>804.25411383551102</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0</v>
      </c>
      <c r="DC65" s="131">
        <f t="shared" si="13"/>
        <v>0</v>
      </c>
      <c r="DD65" s="131">
        <f t="shared" si="55"/>
        <v>0</v>
      </c>
      <c r="DE65" s="131">
        <f t="shared" si="56"/>
        <v>0</v>
      </c>
      <c r="DF65" s="131">
        <f t="shared" si="57"/>
        <v>0</v>
      </c>
      <c r="DG65" s="131">
        <f t="shared" si="58"/>
        <v>0</v>
      </c>
      <c r="DH65" s="131"/>
      <c r="DI65" s="131"/>
      <c r="DJ65" s="131"/>
      <c r="DK65" s="137">
        <f t="shared" si="99"/>
        <v>4620.5129979953599</v>
      </c>
      <c r="DL65" s="227" t="e">
        <f t="shared" si="59"/>
        <v>#REF!</v>
      </c>
      <c r="DM65" s="227" t="e">
        <f t="shared" si="60"/>
        <v>#REF!</v>
      </c>
      <c r="DN65" s="228" t="e">
        <f t="shared" si="14"/>
        <v>#REF!</v>
      </c>
      <c r="DO65" s="228">
        <f t="shared" si="61"/>
        <v>194.35242757490622</v>
      </c>
      <c r="DP65" s="228" t="e">
        <f t="shared" si="62"/>
        <v>#REF!</v>
      </c>
      <c r="DQ65" s="228" t="e">
        <f t="shared" si="63"/>
        <v>#REF!</v>
      </c>
    </row>
    <row r="66" spans="1:121">
      <c r="A66" s="132">
        <f t="shared" si="15"/>
        <v>56</v>
      </c>
      <c r="B66" s="18">
        <f t="shared" si="64"/>
        <v>56</v>
      </c>
      <c r="C66" s="18">
        <f>IF(A66=0," ",VLOOKUP(B66,'tosafot '!$A$7:$B$234,2,0))</f>
        <v>8.2012</v>
      </c>
      <c r="D66" s="220">
        <f t="shared" si="65"/>
        <v>228</v>
      </c>
      <c r="E66" s="130">
        <f t="shared" si="66"/>
        <v>12.2026</v>
      </c>
      <c r="F66" s="126">
        <f t="shared" si="67"/>
        <v>22</v>
      </c>
      <c r="G66" s="18" t="str">
        <f t="shared" si="68"/>
        <v>התחבורה</v>
      </c>
      <c r="H66" s="189">
        <f t="shared" si="69"/>
        <v>122</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36.75</v>
      </c>
      <c r="R66" s="128">
        <f t="shared" si="78"/>
        <v>148</v>
      </c>
      <c r="S66" s="130">
        <f t="shared" si="79"/>
        <v>1.4414995494685181</v>
      </c>
      <c r="T66" s="135">
        <f t="shared" si="16"/>
        <v>0</v>
      </c>
      <c r="U66" s="127">
        <f t="shared" si="17"/>
        <v>0</v>
      </c>
      <c r="V66" s="217">
        <v>0</v>
      </c>
      <c r="W66" s="191">
        <v>0</v>
      </c>
      <c r="X66" s="133">
        <v>0</v>
      </c>
      <c r="Y66" s="131">
        <f t="shared" si="18"/>
        <v>2438.5</v>
      </c>
      <c r="Z66" s="131">
        <f t="shared" si="19"/>
        <v>1076.5966513789815</v>
      </c>
      <c r="AA66" s="242">
        <f t="shared" si="20"/>
        <v>3515.0966513789817</v>
      </c>
      <c r="AB66" s="131">
        <f t="shared" si="21"/>
        <v>0</v>
      </c>
      <c r="AC66" s="131">
        <f t="shared" si="22"/>
        <v>140.60386605515927</v>
      </c>
      <c r="AD66" s="131">
        <f t="shared" si="23"/>
        <v>0</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160.55836672570746</v>
      </c>
      <c r="CC66" s="131">
        <f t="shared" si="41"/>
        <v>0</v>
      </c>
      <c r="CD66" s="136">
        <f t="shared" si="42"/>
        <v>0</v>
      </c>
      <c r="CE66" s="131">
        <f t="shared" si="102"/>
        <v>0</v>
      </c>
      <c r="CF66" s="136">
        <f t="shared" si="43"/>
        <v>0</v>
      </c>
      <c r="CG66" s="136"/>
      <c r="CH66" s="136">
        <f t="shared" si="101"/>
        <v>0</v>
      </c>
      <c r="CI66" s="131">
        <f t="shared" si="44"/>
        <v>0</v>
      </c>
      <c r="CJ66" s="131"/>
      <c r="CK66" s="136">
        <f t="shared" si="45"/>
        <v>0</v>
      </c>
      <c r="CL66" s="136">
        <f t="shared" si="46"/>
        <v>804.25411383551102</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0</v>
      </c>
      <c r="DC66" s="131">
        <f t="shared" si="13"/>
        <v>0</v>
      </c>
      <c r="DD66" s="131">
        <f t="shared" si="55"/>
        <v>0</v>
      </c>
      <c r="DE66" s="131">
        <f t="shared" si="56"/>
        <v>0</v>
      </c>
      <c r="DF66" s="131">
        <f t="shared" si="57"/>
        <v>0</v>
      </c>
      <c r="DG66" s="131">
        <f t="shared" si="58"/>
        <v>0</v>
      </c>
      <c r="DH66" s="131"/>
      <c r="DI66" s="131"/>
      <c r="DJ66" s="131"/>
      <c r="DK66" s="137">
        <f t="shared" si="99"/>
        <v>4620.5129979953599</v>
      </c>
      <c r="DL66" s="227" t="e">
        <f t="shared" si="59"/>
        <v>#REF!</v>
      </c>
      <c r="DM66" s="227" t="e">
        <f t="shared" si="60"/>
        <v>#REF!</v>
      </c>
      <c r="DN66" s="228" t="e">
        <f t="shared" si="14"/>
        <v>#REF!</v>
      </c>
      <c r="DO66" s="228">
        <f t="shared" si="61"/>
        <v>194.35242757490622</v>
      </c>
      <c r="DP66" s="228" t="e">
        <f t="shared" si="62"/>
        <v>#REF!</v>
      </c>
      <c r="DQ66" s="228" t="e">
        <f t="shared" si="63"/>
        <v>#REF!</v>
      </c>
    </row>
    <row r="67" spans="1:121">
      <c r="A67" s="132">
        <f t="shared" si="15"/>
        <v>57</v>
      </c>
      <c r="B67" s="18">
        <f t="shared" si="64"/>
        <v>57</v>
      </c>
      <c r="C67" s="18">
        <f>IF(A67=0," ",VLOOKUP(B67,'tosafot '!$A$7:$B$234,2,0))</f>
        <v>9.2012</v>
      </c>
      <c r="D67" s="220">
        <f t="shared" si="65"/>
        <v>228</v>
      </c>
      <c r="E67" s="130">
        <f t="shared" si="66"/>
        <v>12.2026</v>
      </c>
      <c r="F67" s="126">
        <f t="shared" si="67"/>
        <v>22</v>
      </c>
      <c r="G67" s="18" t="str">
        <f t="shared" si="68"/>
        <v>התחבורה</v>
      </c>
      <c r="H67" s="189">
        <f t="shared" si="69"/>
        <v>122</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36.75</v>
      </c>
      <c r="R67" s="128">
        <f t="shared" si="78"/>
        <v>148</v>
      </c>
      <c r="S67" s="130">
        <f t="shared" si="79"/>
        <v>1.4414995494685181</v>
      </c>
      <c r="T67" s="135">
        <f t="shared" si="16"/>
        <v>0</v>
      </c>
      <c r="U67" s="127">
        <f t="shared" si="17"/>
        <v>0</v>
      </c>
      <c r="V67" s="217">
        <v>0</v>
      </c>
      <c r="W67" s="191">
        <v>0</v>
      </c>
      <c r="X67" s="133">
        <v>0</v>
      </c>
      <c r="Y67" s="131">
        <f t="shared" si="18"/>
        <v>2438.5</v>
      </c>
      <c r="Z67" s="131">
        <f t="shared" si="19"/>
        <v>1076.5966513789815</v>
      </c>
      <c r="AA67" s="242">
        <f t="shared" si="20"/>
        <v>3515.0966513789817</v>
      </c>
      <c r="AB67" s="131">
        <f t="shared" si="21"/>
        <v>0</v>
      </c>
      <c r="AC67" s="131">
        <f t="shared" si="22"/>
        <v>140.60386605515927</v>
      </c>
      <c r="AD67" s="131">
        <f t="shared" si="23"/>
        <v>0</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160.55836672570746</v>
      </c>
      <c r="CC67" s="131">
        <f t="shared" si="41"/>
        <v>0</v>
      </c>
      <c r="CD67" s="136">
        <f t="shared" si="42"/>
        <v>0</v>
      </c>
      <c r="CE67" s="131">
        <f t="shared" si="102"/>
        <v>0</v>
      </c>
      <c r="CF67" s="136">
        <f t="shared" si="43"/>
        <v>0</v>
      </c>
      <c r="CG67" s="136"/>
      <c r="CH67" s="136">
        <f t="shared" si="101"/>
        <v>0</v>
      </c>
      <c r="CI67" s="131">
        <f t="shared" si="44"/>
        <v>0</v>
      </c>
      <c r="CJ67" s="131"/>
      <c r="CK67" s="136">
        <f t="shared" si="45"/>
        <v>0</v>
      </c>
      <c r="CL67" s="136">
        <f t="shared" si="46"/>
        <v>804.25411383551102</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0</v>
      </c>
      <c r="DC67" s="131">
        <f t="shared" si="13"/>
        <v>0</v>
      </c>
      <c r="DD67" s="131">
        <f t="shared" si="55"/>
        <v>0</v>
      </c>
      <c r="DE67" s="131">
        <f t="shared" si="56"/>
        <v>0</v>
      </c>
      <c r="DF67" s="131">
        <f t="shared" si="57"/>
        <v>0</v>
      </c>
      <c r="DG67" s="131">
        <f t="shared" si="58"/>
        <v>0</v>
      </c>
      <c r="DH67" s="131"/>
      <c r="DI67" s="131"/>
      <c r="DJ67" s="131"/>
      <c r="DK67" s="137">
        <f t="shared" si="99"/>
        <v>4620.5129979953599</v>
      </c>
      <c r="DL67" s="227" t="e">
        <f t="shared" si="59"/>
        <v>#REF!</v>
      </c>
      <c r="DM67" s="227" t="e">
        <f t="shared" si="60"/>
        <v>#REF!</v>
      </c>
      <c r="DN67" s="228" t="e">
        <f t="shared" si="14"/>
        <v>#REF!</v>
      </c>
      <c r="DO67" s="228">
        <f t="shared" si="61"/>
        <v>194.35242757490622</v>
      </c>
      <c r="DP67" s="228" t="e">
        <f t="shared" si="62"/>
        <v>#REF!</v>
      </c>
      <c r="DQ67" s="228" t="e">
        <f t="shared" si="63"/>
        <v>#REF!</v>
      </c>
    </row>
    <row r="68" spans="1:121">
      <c r="A68" s="132">
        <f t="shared" si="15"/>
        <v>58</v>
      </c>
      <c r="B68" s="18">
        <f t="shared" si="64"/>
        <v>58</v>
      </c>
      <c r="C68" s="18">
        <f>IF(A68=0," ",VLOOKUP(B68,'tosafot '!$A$7:$B$234,2,0))</f>
        <v>10.2012</v>
      </c>
      <c r="D68" s="220">
        <f t="shared" si="65"/>
        <v>228</v>
      </c>
      <c r="E68" s="130">
        <f t="shared" si="66"/>
        <v>12.2026</v>
      </c>
      <c r="F68" s="126">
        <f t="shared" si="67"/>
        <v>22</v>
      </c>
      <c r="G68" s="18" t="str">
        <f t="shared" si="68"/>
        <v>התחבורה</v>
      </c>
      <c r="H68" s="189">
        <f t="shared" si="69"/>
        <v>122</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36.75</v>
      </c>
      <c r="R68" s="128">
        <f t="shared" si="78"/>
        <v>148</v>
      </c>
      <c r="S68" s="130">
        <f t="shared" si="79"/>
        <v>1.4414995494685181</v>
      </c>
      <c r="T68" s="135">
        <f t="shared" si="16"/>
        <v>0</v>
      </c>
      <c r="U68" s="127">
        <f t="shared" si="17"/>
        <v>0</v>
      </c>
      <c r="V68" s="217">
        <v>0</v>
      </c>
      <c r="W68" s="191">
        <v>0</v>
      </c>
      <c r="X68" s="133">
        <v>0</v>
      </c>
      <c r="Y68" s="131">
        <f t="shared" si="18"/>
        <v>2438.5</v>
      </c>
      <c r="Z68" s="131">
        <f t="shared" si="19"/>
        <v>1076.5966513789815</v>
      </c>
      <c r="AA68" s="242">
        <f t="shared" si="20"/>
        <v>3515.0966513789817</v>
      </c>
      <c r="AB68" s="131">
        <f t="shared" si="21"/>
        <v>0</v>
      </c>
      <c r="AC68" s="131">
        <f t="shared" si="22"/>
        <v>140.60386605515927</v>
      </c>
      <c r="AD68" s="131">
        <f t="shared" si="23"/>
        <v>0</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160.55836672570746</v>
      </c>
      <c r="CC68" s="131">
        <f t="shared" si="41"/>
        <v>0</v>
      </c>
      <c r="CD68" s="136">
        <f t="shared" si="42"/>
        <v>0</v>
      </c>
      <c r="CE68" s="131">
        <f t="shared" si="102"/>
        <v>0</v>
      </c>
      <c r="CF68" s="136">
        <f t="shared" si="43"/>
        <v>0</v>
      </c>
      <c r="CG68" s="136"/>
      <c r="CH68" s="136">
        <f t="shared" si="101"/>
        <v>0</v>
      </c>
      <c r="CI68" s="131">
        <f t="shared" si="44"/>
        <v>0</v>
      </c>
      <c r="CJ68" s="131"/>
      <c r="CK68" s="136">
        <f t="shared" si="45"/>
        <v>0</v>
      </c>
      <c r="CL68" s="136">
        <f t="shared" si="46"/>
        <v>804.25411383551102</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0</v>
      </c>
      <c r="DC68" s="131">
        <f t="shared" si="13"/>
        <v>0</v>
      </c>
      <c r="DD68" s="131">
        <f t="shared" si="55"/>
        <v>0</v>
      </c>
      <c r="DE68" s="131">
        <f t="shared" si="56"/>
        <v>0</v>
      </c>
      <c r="DF68" s="131">
        <f t="shared" si="57"/>
        <v>0</v>
      </c>
      <c r="DG68" s="131">
        <f t="shared" si="58"/>
        <v>0</v>
      </c>
      <c r="DH68" s="131"/>
      <c r="DI68" s="131"/>
      <c r="DJ68" s="131"/>
      <c r="DK68" s="137">
        <f t="shared" si="99"/>
        <v>4620.5129979953599</v>
      </c>
      <c r="DL68" s="227" t="e">
        <f t="shared" si="59"/>
        <v>#REF!</v>
      </c>
      <c r="DM68" s="227" t="e">
        <f t="shared" si="60"/>
        <v>#REF!</v>
      </c>
      <c r="DN68" s="228" t="e">
        <f t="shared" si="14"/>
        <v>#REF!</v>
      </c>
      <c r="DO68" s="228">
        <f t="shared" si="61"/>
        <v>194.35242757490622</v>
      </c>
      <c r="DP68" s="228" t="e">
        <f t="shared" si="62"/>
        <v>#REF!</v>
      </c>
      <c r="DQ68" s="228" t="e">
        <f t="shared" si="63"/>
        <v>#REF!</v>
      </c>
    </row>
    <row r="69" spans="1:121">
      <c r="A69" s="132">
        <f t="shared" si="15"/>
        <v>59</v>
      </c>
      <c r="B69" s="18">
        <f t="shared" si="64"/>
        <v>59</v>
      </c>
      <c r="C69" s="18">
        <f>IF(A69=0," ",VLOOKUP(B69,'tosafot '!$A$7:$B$234,2,0))</f>
        <v>11.2012</v>
      </c>
      <c r="D69" s="220">
        <f t="shared" si="65"/>
        <v>228</v>
      </c>
      <c r="E69" s="130">
        <f t="shared" si="66"/>
        <v>12.2026</v>
      </c>
      <c r="F69" s="126">
        <f t="shared" si="67"/>
        <v>22</v>
      </c>
      <c r="G69" s="18" t="str">
        <f t="shared" si="68"/>
        <v>התחבורה</v>
      </c>
      <c r="H69" s="189">
        <f t="shared" si="69"/>
        <v>122</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36.75</v>
      </c>
      <c r="R69" s="128">
        <f t="shared" si="78"/>
        <v>148</v>
      </c>
      <c r="S69" s="130">
        <f t="shared" si="79"/>
        <v>1.4414995494685181</v>
      </c>
      <c r="T69" s="135">
        <f t="shared" si="16"/>
        <v>0</v>
      </c>
      <c r="U69" s="127">
        <f t="shared" si="17"/>
        <v>0</v>
      </c>
      <c r="V69" s="217">
        <v>0</v>
      </c>
      <c r="W69" s="191">
        <v>0</v>
      </c>
      <c r="X69" s="133">
        <v>0</v>
      </c>
      <c r="Y69" s="131">
        <f t="shared" si="18"/>
        <v>2438.5</v>
      </c>
      <c r="Z69" s="131">
        <f t="shared" si="19"/>
        <v>1076.5966513789815</v>
      </c>
      <c r="AA69" s="242">
        <f t="shared" si="20"/>
        <v>3515.0966513789817</v>
      </c>
      <c r="AB69" s="131">
        <f t="shared" si="21"/>
        <v>0</v>
      </c>
      <c r="AC69" s="131">
        <f t="shared" si="22"/>
        <v>140.60386605515927</v>
      </c>
      <c r="AD69" s="131">
        <f t="shared" si="23"/>
        <v>0</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160.55836672570746</v>
      </c>
      <c r="CC69" s="131">
        <f t="shared" si="41"/>
        <v>0</v>
      </c>
      <c r="CD69" s="136">
        <f t="shared" si="42"/>
        <v>0</v>
      </c>
      <c r="CE69" s="131">
        <f t="shared" si="102"/>
        <v>0</v>
      </c>
      <c r="CF69" s="136">
        <f t="shared" si="43"/>
        <v>0</v>
      </c>
      <c r="CG69" s="136"/>
      <c r="CH69" s="136">
        <f t="shared" si="101"/>
        <v>0</v>
      </c>
      <c r="CI69" s="131">
        <f t="shared" si="44"/>
        <v>0</v>
      </c>
      <c r="CJ69" s="131"/>
      <c r="CK69" s="136">
        <f t="shared" si="45"/>
        <v>0</v>
      </c>
      <c r="CL69" s="136">
        <f t="shared" si="46"/>
        <v>804.25411383551102</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0</v>
      </c>
      <c r="DC69" s="131">
        <f t="shared" si="13"/>
        <v>0</v>
      </c>
      <c r="DD69" s="131">
        <f t="shared" si="55"/>
        <v>0</v>
      </c>
      <c r="DE69" s="131">
        <f t="shared" si="56"/>
        <v>0</v>
      </c>
      <c r="DF69" s="131">
        <f t="shared" si="57"/>
        <v>0</v>
      </c>
      <c r="DG69" s="131">
        <f t="shared" si="58"/>
        <v>0</v>
      </c>
      <c r="DH69" s="131"/>
      <c r="DI69" s="131"/>
      <c r="DJ69" s="131"/>
      <c r="DK69" s="137">
        <f t="shared" si="99"/>
        <v>4620.5129979953599</v>
      </c>
      <c r="DL69" s="227" t="e">
        <f t="shared" si="59"/>
        <v>#REF!</v>
      </c>
      <c r="DM69" s="227" t="e">
        <f t="shared" si="60"/>
        <v>#REF!</v>
      </c>
      <c r="DN69" s="228" t="e">
        <f t="shared" si="14"/>
        <v>#REF!</v>
      </c>
      <c r="DO69" s="228">
        <f t="shared" si="61"/>
        <v>194.35242757490622</v>
      </c>
      <c r="DP69" s="228" t="e">
        <f t="shared" si="62"/>
        <v>#REF!</v>
      </c>
      <c r="DQ69" s="228" t="e">
        <f t="shared" si="63"/>
        <v>#REF!</v>
      </c>
    </row>
    <row r="70" spans="1:121">
      <c r="A70" s="132">
        <f t="shared" si="15"/>
        <v>60</v>
      </c>
      <c r="B70" s="18">
        <f t="shared" si="64"/>
        <v>60</v>
      </c>
      <c r="C70" s="18">
        <f>IF(A70=0," ",VLOOKUP(B70,'tosafot '!$A$7:$B$234,2,0))</f>
        <v>12.2012</v>
      </c>
      <c r="D70" s="220">
        <f t="shared" si="65"/>
        <v>228</v>
      </c>
      <c r="E70" s="130">
        <f t="shared" si="66"/>
        <v>12.2026</v>
      </c>
      <c r="F70" s="126">
        <f t="shared" si="67"/>
        <v>22</v>
      </c>
      <c r="G70" s="18" t="str">
        <f t="shared" si="68"/>
        <v>התחבורה</v>
      </c>
      <c r="H70" s="189">
        <f t="shared" si="69"/>
        <v>122</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36.75</v>
      </c>
      <c r="R70" s="128">
        <f t="shared" si="78"/>
        <v>148</v>
      </c>
      <c r="S70" s="130">
        <f t="shared" si="79"/>
        <v>1.4414995494685181</v>
      </c>
      <c r="T70" s="135">
        <f t="shared" si="16"/>
        <v>0</v>
      </c>
      <c r="U70" s="127">
        <f t="shared" si="17"/>
        <v>0</v>
      </c>
      <c r="V70" s="217">
        <v>0</v>
      </c>
      <c r="W70" s="191">
        <v>0</v>
      </c>
      <c r="X70" s="133">
        <v>0</v>
      </c>
      <c r="Y70" s="131">
        <f t="shared" si="18"/>
        <v>2438.5</v>
      </c>
      <c r="Z70" s="131">
        <f t="shared" si="19"/>
        <v>1076.5966513789815</v>
      </c>
      <c r="AA70" s="242">
        <f t="shared" si="20"/>
        <v>3515.0966513789817</v>
      </c>
      <c r="AB70" s="131">
        <f t="shared" si="21"/>
        <v>0</v>
      </c>
      <c r="AC70" s="131">
        <f t="shared" si="22"/>
        <v>140.60386605515927</v>
      </c>
      <c r="AD70" s="131">
        <f t="shared" si="23"/>
        <v>0</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160.55836672570746</v>
      </c>
      <c r="CC70" s="131">
        <f t="shared" si="41"/>
        <v>0</v>
      </c>
      <c r="CD70" s="136">
        <f t="shared" si="42"/>
        <v>0</v>
      </c>
      <c r="CE70" s="131">
        <f t="shared" si="102"/>
        <v>0</v>
      </c>
      <c r="CF70" s="136">
        <f t="shared" si="43"/>
        <v>0</v>
      </c>
      <c r="CG70" s="136"/>
      <c r="CH70" s="136">
        <f t="shared" si="101"/>
        <v>0</v>
      </c>
      <c r="CI70" s="131">
        <f t="shared" si="44"/>
        <v>0</v>
      </c>
      <c r="CJ70" s="131"/>
      <c r="CK70" s="136">
        <f t="shared" si="45"/>
        <v>0</v>
      </c>
      <c r="CL70" s="136">
        <f t="shared" si="46"/>
        <v>804.25411383551102</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0</v>
      </c>
      <c r="DC70" s="131">
        <f t="shared" si="13"/>
        <v>0</v>
      </c>
      <c r="DD70" s="131">
        <f t="shared" si="55"/>
        <v>0</v>
      </c>
      <c r="DE70" s="131">
        <f t="shared" si="56"/>
        <v>0</v>
      </c>
      <c r="DF70" s="131">
        <f t="shared" si="57"/>
        <v>0</v>
      </c>
      <c r="DG70" s="131">
        <f t="shared" si="58"/>
        <v>0</v>
      </c>
      <c r="DH70" s="131"/>
      <c r="DI70" s="131"/>
      <c r="DJ70" s="131"/>
      <c r="DK70" s="137">
        <f t="shared" si="99"/>
        <v>4620.5129979953599</v>
      </c>
      <c r="DL70" s="227" t="e">
        <f t="shared" si="59"/>
        <v>#REF!</v>
      </c>
      <c r="DM70" s="227" t="e">
        <f t="shared" si="60"/>
        <v>#REF!</v>
      </c>
      <c r="DN70" s="228" t="e">
        <f t="shared" si="14"/>
        <v>#REF!</v>
      </c>
      <c r="DO70" s="228">
        <f t="shared" si="61"/>
        <v>194.35242757490622</v>
      </c>
      <c r="DP70" s="228" t="e">
        <f t="shared" si="62"/>
        <v>#REF!</v>
      </c>
      <c r="DQ70" s="228" t="e">
        <f t="shared" si="63"/>
        <v>#REF!</v>
      </c>
    </row>
    <row r="71" spans="1:121">
      <c r="A71" s="132">
        <f t="shared" si="15"/>
        <v>61</v>
      </c>
      <c r="B71" s="18">
        <f t="shared" si="64"/>
        <v>61</v>
      </c>
      <c r="C71" s="18">
        <f>IF(A71=0," ",VLOOKUP(B71,'tosafot '!$A$7:$B$234,2,0))</f>
        <v>1.2013</v>
      </c>
      <c r="D71" s="220">
        <f t="shared" si="65"/>
        <v>228</v>
      </c>
      <c r="E71" s="130">
        <f t="shared" si="66"/>
        <v>12.2026</v>
      </c>
      <c r="F71" s="126">
        <f t="shared" si="67"/>
        <v>22</v>
      </c>
      <c r="G71" s="18" t="str">
        <f t="shared" si="68"/>
        <v>התחבורה</v>
      </c>
      <c r="H71" s="189">
        <f t="shared" si="69"/>
        <v>122</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36.75</v>
      </c>
      <c r="R71" s="128">
        <f t="shared" si="78"/>
        <v>148</v>
      </c>
      <c r="S71" s="130">
        <f t="shared" si="79"/>
        <v>1.4414995494685181</v>
      </c>
      <c r="T71" s="135">
        <f t="shared" si="16"/>
        <v>0</v>
      </c>
      <c r="U71" s="127">
        <f t="shared" si="17"/>
        <v>0</v>
      </c>
      <c r="V71" s="217">
        <v>0</v>
      </c>
      <c r="W71" s="191">
        <v>0</v>
      </c>
      <c r="X71" s="133">
        <v>0</v>
      </c>
      <c r="Y71" s="131">
        <f t="shared" si="18"/>
        <v>2438.5</v>
      </c>
      <c r="Z71" s="131">
        <f t="shared" si="19"/>
        <v>1076.5966513789815</v>
      </c>
      <c r="AA71" s="242">
        <f t="shared" si="20"/>
        <v>3515.0966513789817</v>
      </c>
      <c r="AB71" s="131">
        <f t="shared" si="21"/>
        <v>0</v>
      </c>
      <c r="AC71" s="131">
        <f t="shared" si="22"/>
        <v>140.60386605515927</v>
      </c>
      <c r="AD71" s="131">
        <f t="shared" si="23"/>
        <v>0</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160.55836672570746</v>
      </c>
      <c r="CC71" s="131">
        <f t="shared" si="41"/>
        <v>0</v>
      </c>
      <c r="CD71" s="136">
        <f t="shared" si="42"/>
        <v>0</v>
      </c>
      <c r="CE71" s="131">
        <f t="shared" si="102"/>
        <v>0</v>
      </c>
      <c r="CF71" s="136">
        <f t="shared" si="43"/>
        <v>0</v>
      </c>
      <c r="CG71" s="136"/>
      <c r="CH71" s="136">
        <f t="shared" si="101"/>
        <v>0</v>
      </c>
      <c r="CI71" s="131">
        <f t="shared" si="44"/>
        <v>0</v>
      </c>
      <c r="CJ71" s="131"/>
      <c r="CK71" s="136">
        <f t="shared" si="45"/>
        <v>0</v>
      </c>
      <c r="CL71" s="136">
        <f t="shared" si="46"/>
        <v>804.25411383551102</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0</v>
      </c>
      <c r="DC71" s="131">
        <f t="shared" si="13"/>
        <v>0</v>
      </c>
      <c r="DD71" s="131">
        <f t="shared" si="55"/>
        <v>0</v>
      </c>
      <c r="DE71" s="131">
        <f t="shared" si="56"/>
        <v>0</v>
      </c>
      <c r="DF71" s="131">
        <f t="shared" si="57"/>
        <v>0</v>
      </c>
      <c r="DG71" s="131">
        <f t="shared" si="58"/>
        <v>0</v>
      </c>
      <c r="DH71" s="131"/>
      <c r="DI71" s="131"/>
      <c r="DJ71" s="131"/>
      <c r="DK71" s="137">
        <f t="shared" si="99"/>
        <v>4620.5129979953599</v>
      </c>
      <c r="DL71" s="227" t="e">
        <f t="shared" si="59"/>
        <v>#REF!</v>
      </c>
      <c r="DM71" s="227" t="e">
        <f t="shared" si="60"/>
        <v>#REF!</v>
      </c>
      <c r="DN71" s="228" t="e">
        <f t="shared" si="14"/>
        <v>#REF!</v>
      </c>
      <c r="DO71" s="228">
        <f t="shared" si="61"/>
        <v>194.35242757490622</v>
      </c>
      <c r="DP71" s="228" t="e">
        <f t="shared" si="62"/>
        <v>#REF!</v>
      </c>
      <c r="DQ71" s="228" t="e">
        <f t="shared" si="63"/>
        <v>#REF!</v>
      </c>
    </row>
    <row r="72" spans="1:121">
      <c r="A72" s="132">
        <f t="shared" si="15"/>
        <v>62</v>
      </c>
      <c r="B72" s="18">
        <f t="shared" si="64"/>
        <v>62</v>
      </c>
      <c r="C72" s="18">
        <f>IF(A72=0," ",VLOOKUP(B72,'tosafot '!$A$7:$B$234,2,0))</f>
        <v>2.2012999999999998</v>
      </c>
      <c r="D72" s="220">
        <f t="shared" si="65"/>
        <v>228</v>
      </c>
      <c r="E72" s="130">
        <f t="shared" si="66"/>
        <v>12.2026</v>
      </c>
      <c r="F72" s="126">
        <f t="shared" si="67"/>
        <v>22</v>
      </c>
      <c r="G72" s="18" t="str">
        <f t="shared" si="68"/>
        <v>התחבורה</v>
      </c>
      <c r="H72" s="189">
        <f t="shared" si="69"/>
        <v>122</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36.75</v>
      </c>
      <c r="R72" s="128">
        <f t="shared" si="78"/>
        <v>148</v>
      </c>
      <c r="S72" s="130">
        <f t="shared" si="79"/>
        <v>1.4414995494685181</v>
      </c>
      <c r="T72" s="135">
        <f t="shared" si="16"/>
        <v>0</v>
      </c>
      <c r="U72" s="127">
        <f t="shared" si="17"/>
        <v>0</v>
      </c>
      <c r="V72" s="217">
        <v>0</v>
      </c>
      <c r="W72" s="191">
        <v>0</v>
      </c>
      <c r="X72" s="133">
        <v>0</v>
      </c>
      <c r="Y72" s="131">
        <f t="shared" si="18"/>
        <v>2438.5</v>
      </c>
      <c r="Z72" s="131">
        <f t="shared" si="19"/>
        <v>1076.5966513789815</v>
      </c>
      <c r="AA72" s="242">
        <f t="shared" si="20"/>
        <v>3515.0966513789817</v>
      </c>
      <c r="AB72" s="131">
        <f t="shared" si="21"/>
        <v>0</v>
      </c>
      <c r="AC72" s="131">
        <f t="shared" si="22"/>
        <v>140.60386605515927</v>
      </c>
      <c r="AD72" s="131">
        <f t="shared" si="23"/>
        <v>0</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160.55836672570746</v>
      </c>
      <c r="CC72" s="131">
        <f t="shared" si="41"/>
        <v>0</v>
      </c>
      <c r="CD72" s="136">
        <f t="shared" si="42"/>
        <v>0</v>
      </c>
      <c r="CE72" s="131">
        <f t="shared" si="102"/>
        <v>0</v>
      </c>
      <c r="CF72" s="136">
        <f t="shared" si="43"/>
        <v>0</v>
      </c>
      <c r="CG72" s="136"/>
      <c r="CH72" s="136">
        <f t="shared" si="101"/>
        <v>0</v>
      </c>
      <c r="CI72" s="131">
        <f t="shared" si="44"/>
        <v>0</v>
      </c>
      <c r="CJ72" s="131"/>
      <c r="CK72" s="136">
        <f t="shared" si="45"/>
        <v>0</v>
      </c>
      <c r="CL72" s="136">
        <f t="shared" si="46"/>
        <v>804.25411383551102</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0</v>
      </c>
      <c r="DC72" s="131">
        <f t="shared" si="13"/>
        <v>0</v>
      </c>
      <c r="DD72" s="131">
        <f t="shared" si="55"/>
        <v>0</v>
      </c>
      <c r="DE72" s="131">
        <f t="shared" si="56"/>
        <v>0</v>
      </c>
      <c r="DF72" s="131">
        <f t="shared" si="57"/>
        <v>0</v>
      </c>
      <c r="DG72" s="131">
        <f t="shared" si="58"/>
        <v>0</v>
      </c>
      <c r="DH72" s="131"/>
      <c r="DI72" s="131"/>
      <c r="DJ72" s="131"/>
      <c r="DK72" s="137">
        <f t="shared" si="99"/>
        <v>4620.5129979953599</v>
      </c>
      <c r="DL72" s="227" t="e">
        <f t="shared" si="59"/>
        <v>#REF!</v>
      </c>
      <c r="DM72" s="227" t="e">
        <f t="shared" si="60"/>
        <v>#REF!</v>
      </c>
      <c r="DN72" s="228" t="e">
        <f t="shared" si="14"/>
        <v>#REF!</v>
      </c>
      <c r="DO72" s="228">
        <f t="shared" si="61"/>
        <v>194.35242757490622</v>
      </c>
      <c r="DP72" s="228" t="e">
        <f t="shared" si="62"/>
        <v>#REF!</v>
      </c>
      <c r="DQ72" s="228" t="e">
        <f t="shared" si="63"/>
        <v>#REF!</v>
      </c>
    </row>
    <row r="73" spans="1:121">
      <c r="A73" s="132">
        <f t="shared" si="15"/>
        <v>63</v>
      </c>
      <c r="B73" s="18">
        <f t="shared" si="64"/>
        <v>63</v>
      </c>
      <c r="C73" s="18">
        <f>IF(A73=0," ",VLOOKUP(B73,'tosafot '!$A$7:$B$234,2,0))</f>
        <v>3.2012999999999998</v>
      </c>
      <c r="D73" s="220">
        <f t="shared" si="65"/>
        <v>228</v>
      </c>
      <c r="E73" s="130">
        <f t="shared" si="66"/>
        <v>12.2026</v>
      </c>
      <c r="F73" s="126">
        <f t="shared" si="67"/>
        <v>22</v>
      </c>
      <c r="G73" s="18" t="str">
        <f t="shared" si="68"/>
        <v>התחבורה</v>
      </c>
      <c r="H73" s="189">
        <f t="shared" si="69"/>
        <v>122</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36.75</v>
      </c>
      <c r="R73" s="128">
        <f t="shared" si="78"/>
        <v>148</v>
      </c>
      <c r="S73" s="130">
        <f t="shared" si="79"/>
        <v>1.4414995494685181</v>
      </c>
      <c r="T73" s="135">
        <f t="shared" si="16"/>
        <v>0</v>
      </c>
      <c r="U73" s="127">
        <f t="shared" si="17"/>
        <v>0</v>
      </c>
      <c r="V73" s="217">
        <v>0</v>
      </c>
      <c r="W73" s="191">
        <v>0</v>
      </c>
      <c r="X73" s="133">
        <v>0</v>
      </c>
      <c r="Y73" s="131">
        <f t="shared" si="18"/>
        <v>2438.5</v>
      </c>
      <c r="Z73" s="131">
        <f t="shared" si="19"/>
        <v>1076.5966513789815</v>
      </c>
      <c r="AA73" s="242">
        <f t="shared" si="20"/>
        <v>3515.0966513789817</v>
      </c>
      <c r="AB73" s="131">
        <f t="shared" si="21"/>
        <v>0</v>
      </c>
      <c r="AC73" s="131">
        <f t="shared" si="22"/>
        <v>140.60386605515927</v>
      </c>
      <c r="AD73" s="131">
        <f t="shared" si="23"/>
        <v>0</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160.55836672570746</v>
      </c>
      <c r="CC73" s="131">
        <f t="shared" si="41"/>
        <v>0</v>
      </c>
      <c r="CD73" s="136">
        <f t="shared" si="42"/>
        <v>0</v>
      </c>
      <c r="CE73" s="131">
        <f t="shared" si="102"/>
        <v>0</v>
      </c>
      <c r="CF73" s="136">
        <f t="shared" si="43"/>
        <v>0</v>
      </c>
      <c r="CG73" s="136"/>
      <c r="CH73" s="136">
        <f t="shared" si="101"/>
        <v>0</v>
      </c>
      <c r="CI73" s="131">
        <f t="shared" si="44"/>
        <v>0</v>
      </c>
      <c r="CJ73" s="131"/>
      <c r="CK73" s="136">
        <f t="shared" si="45"/>
        <v>0</v>
      </c>
      <c r="CL73" s="136">
        <f t="shared" si="46"/>
        <v>804.25411383551102</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0</v>
      </c>
      <c r="DC73" s="131">
        <f t="shared" si="13"/>
        <v>0</v>
      </c>
      <c r="DD73" s="131">
        <f t="shared" si="55"/>
        <v>0</v>
      </c>
      <c r="DE73" s="131">
        <f t="shared" si="56"/>
        <v>0</v>
      </c>
      <c r="DF73" s="131">
        <f t="shared" si="57"/>
        <v>0</v>
      </c>
      <c r="DG73" s="131">
        <f t="shared" si="58"/>
        <v>0</v>
      </c>
      <c r="DH73" s="131"/>
      <c r="DI73" s="131"/>
      <c r="DJ73" s="131"/>
      <c r="DK73" s="137">
        <f t="shared" si="99"/>
        <v>4620.5129979953599</v>
      </c>
      <c r="DL73" s="227" t="e">
        <f t="shared" si="59"/>
        <v>#REF!</v>
      </c>
      <c r="DM73" s="227" t="e">
        <f t="shared" si="60"/>
        <v>#REF!</v>
      </c>
      <c r="DN73" s="228" t="e">
        <f t="shared" si="14"/>
        <v>#REF!</v>
      </c>
      <c r="DO73" s="228">
        <f t="shared" si="61"/>
        <v>194.35242757490622</v>
      </c>
      <c r="DP73" s="228" t="e">
        <f t="shared" si="62"/>
        <v>#REF!</v>
      </c>
      <c r="DQ73" s="228" t="e">
        <f t="shared" si="63"/>
        <v>#REF!</v>
      </c>
    </row>
    <row r="74" spans="1:121">
      <c r="A74" s="132">
        <f t="shared" si="15"/>
        <v>64</v>
      </c>
      <c r="B74" s="18">
        <f t="shared" si="64"/>
        <v>64</v>
      </c>
      <c r="C74" s="18">
        <f>IF(A74=0," ",VLOOKUP(B74,'tosafot '!$A$7:$B$234,2,0))</f>
        <v>4.2012999999999998</v>
      </c>
      <c r="D74" s="220">
        <f t="shared" si="65"/>
        <v>228</v>
      </c>
      <c r="E74" s="130">
        <f t="shared" si="66"/>
        <v>12.2026</v>
      </c>
      <c r="F74" s="126">
        <f t="shared" si="67"/>
        <v>22</v>
      </c>
      <c r="G74" s="18" t="str">
        <f t="shared" si="68"/>
        <v>התחבורה</v>
      </c>
      <c r="H74" s="189">
        <f t="shared" si="69"/>
        <v>122</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36.75</v>
      </c>
      <c r="R74" s="128">
        <f t="shared" si="78"/>
        <v>148</v>
      </c>
      <c r="S74" s="130">
        <f t="shared" si="79"/>
        <v>1.4414995494685181</v>
      </c>
      <c r="T74" s="135">
        <f t="shared" si="16"/>
        <v>0</v>
      </c>
      <c r="U74" s="127">
        <f t="shared" si="17"/>
        <v>0</v>
      </c>
      <c r="V74" s="217">
        <v>0</v>
      </c>
      <c r="W74" s="191">
        <v>0</v>
      </c>
      <c r="X74" s="133">
        <v>0</v>
      </c>
      <c r="Y74" s="131">
        <f t="shared" si="18"/>
        <v>2438.5</v>
      </c>
      <c r="Z74" s="131">
        <f t="shared" si="19"/>
        <v>1076.5966513789815</v>
      </c>
      <c r="AA74" s="242">
        <f t="shared" si="20"/>
        <v>3515.0966513789817</v>
      </c>
      <c r="AB74" s="131">
        <f t="shared" si="21"/>
        <v>0</v>
      </c>
      <c r="AC74" s="131">
        <f t="shared" si="22"/>
        <v>140.60386605515927</v>
      </c>
      <c r="AD74" s="131">
        <f t="shared" si="23"/>
        <v>0</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160.55836672570746</v>
      </c>
      <c r="CC74" s="131">
        <f t="shared" si="41"/>
        <v>0</v>
      </c>
      <c r="CD74" s="136">
        <f t="shared" si="42"/>
        <v>0</v>
      </c>
      <c r="CE74" s="131">
        <f t="shared" si="102"/>
        <v>0</v>
      </c>
      <c r="CF74" s="136">
        <f t="shared" si="43"/>
        <v>0</v>
      </c>
      <c r="CG74" s="136"/>
      <c r="CH74" s="136">
        <f t="shared" si="101"/>
        <v>0</v>
      </c>
      <c r="CI74" s="131">
        <f t="shared" si="44"/>
        <v>0</v>
      </c>
      <c r="CJ74" s="131"/>
      <c r="CK74" s="136">
        <f t="shared" si="45"/>
        <v>0</v>
      </c>
      <c r="CL74" s="136">
        <f t="shared" si="46"/>
        <v>804.25411383551102</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0</v>
      </c>
      <c r="DC74" s="131">
        <f t="shared" si="13"/>
        <v>0</v>
      </c>
      <c r="DD74" s="131">
        <f t="shared" si="55"/>
        <v>0</v>
      </c>
      <c r="DE74" s="131">
        <f t="shared" si="56"/>
        <v>0</v>
      </c>
      <c r="DF74" s="131">
        <f t="shared" si="57"/>
        <v>0</v>
      </c>
      <c r="DG74" s="131">
        <f t="shared" si="58"/>
        <v>0</v>
      </c>
      <c r="DH74" s="131"/>
      <c r="DI74" s="131"/>
      <c r="DJ74" s="131"/>
      <c r="DK74" s="137">
        <f t="shared" si="99"/>
        <v>4620.5129979953599</v>
      </c>
      <c r="DL74" s="227" t="e">
        <f t="shared" si="59"/>
        <v>#REF!</v>
      </c>
      <c r="DM74" s="227" t="e">
        <f t="shared" si="60"/>
        <v>#REF!</v>
      </c>
      <c r="DN74" s="228" t="e">
        <f t="shared" si="14"/>
        <v>#REF!</v>
      </c>
      <c r="DO74" s="228">
        <f t="shared" si="61"/>
        <v>194.35242757490622</v>
      </c>
      <c r="DP74" s="228" t="e">
        <f t="shared" si="62"/>
        <v>#REF!</v>
      </c>
      <c r="DQ74" s="228" t="e">
        <f t="shared" si="63"/>
        <v>#REF!</v>
      </c>
    </row>
    <row r="75" spans="1:121">
      <c r="A75" s="132">
        <f t="shared" si="15"/>
        <v>65</v>
      </c>
      <c r="B75" s="18">
        <f t="shared" si="64"/>
        <v>65</v>
      </c>
      <c r="C75" s="18">
        <f>IF(A75=0," ",VLOOKUP(B75,'tosafot '!$A$7:$B$234,2,0))</f>
        <v>5.2012999999999998</v>
      </c>
      <c r="D75" s="220">
        <f t="shared" si="65"/>
        <v>228</v>
      </c>
      <c r="E75" s="130">
        <f t="shared" si="66"/>
        <v>12.2026</v>
      </c>
      <c r="F75" s="126">
        <f t="shared" si="67"/>
        <v>22</v>
      </c>
      <c r="G75" s="18" t="str">
        <f t="shared" si="68"/>
        <v>התחבורה</v>
      </c>
      <c r="H75" s="189">
        <f t="shared" si="69"/>
        <v>122</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36.75</v>
      </c>
      <c r="R75" s="128">
        <f t="shared" si="78"/>
        <v>148</v>
      </c>
      <c r="S75" s="130">
        <f t="shared" si="79"/>
        <v>1.4414995494685181</v>
      </c>
      <c r="T75" s="135">
        <f t="shared" si="16"/>
        <v>0</v>
      </c>
      <c r="U75" s="127">
        <f t="shared" si="17"/>
        <v>0</v>
      </c>
      <c r="V75" s="217">
        <v>0</v>
      </c>
      <c r="W75" s="191">
        <v>0</v>
      </c>
      <c r="X75" s="133">
        <v>0</v>
      </c>
      <c r="Y75" s="131">
        <f t="shared" si="18"/>
        <v>2438.5</v>
      </c>
      <c r="Z75" s="131">
        <f t="shared" si="19"/>
        <v>1076.5966513789815</v>
      </c>
      <c r="AA75" s="242">
        <f t="shared" si="20"/>
        <v>3515.0966513789817</v>
      </c>
      <c r="AB75" s="131">
        <f t="shared" si="21"/>
        <v>0</v>
      </c>
      <c r="AC75" s="131">
        <f t="shared" si="22"/>
        <v>140.60386605515927</v>
      </c>
      <c r="AD75" s="131">
        <f t="shared" si="23"/>
        <v>0</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160.55836672570746</v>
      </c>
      <c r="CC75" s="131">
        <f t="shared" si="41"/>
        <v>0</v>
      </c>
      <c r="CD75" s="136">
        <f t="shared" si="42"/>
        <v>0</v>
      </c>
      <c r="CE75" s="131">
        <f t="shared" si="102"/>
        <v>0</v>
      </c>
      <c r="CF75" s="136">
        <f t="shared" si="43"/>
        <v>0</v>
      </c>
      <c r="CG75" s="136"/>
      <c r="CH75" s="136">
        <f t="shared" si="101"/>
        <v>0</v>
      </c>
      <c r="CI75" s="131">
        <f t="shared" si="44"/>
        <v>0</v>
      </c>
      <c r="CJ75" s="131"/>
      <c r="CK75" s="136">
        <f t="shared" si="45"/>
        <v>0</v>
      </c>
      <c r="CL75" s="136">
        <f t="shared" si="46"/>
        <v>804.25411383551102</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0</v>
      </c>
      <c r="DC75" s="131">
        <f t="shared" ref="DC75:DC138" si="105">IF(A75=0," ",+U75)</f>
        <v>0</v>
      </c>
      <c r="DD75" s="131">
        <f t="shared" si="55"/>
        <v>0</v>
      </c>
      <c r="DE75" s="131">
        <f t="shared" si="56"/>
        <v>0</v>
      </c>
      <c r="DF75" s="131">
        <f t="shared" si="57"/>
        <v>0</v>
      </c>
      <c r="DG75" s="131">
        <f t="shared" si="58"/>
        <v>0</v>
      </c>
      <c r="DH75" s="131"/>
      <c r="DI75" s="131"/>
      <c r="DJ75" s="131"/>
      <c r="DK75" s="137">
        <f t="shared" si="99"/>
        <v>4620.5129979953599</v>
      </c>
      <c r="DL75" s="227" t="e">
        <f t="shared" si="59"/>
        <v>#REF!</v>
      </c>
      <c r="DM75" s="227" t="e">
        <f t="shared" si="60"/>
        <v>#REF!</v>
      </c>
      <c r="DN75" s="228" t="e">
        <f t="shared" ref="DN75:DN138" si="106">IF(A75=0," ",+DK75*DL75*DM75)</f>
        <v>#REF!</v>
      </c>
      <c r="DO75" s="228">
        <f t="shared" si="61"/>
        <v>194.35242757490622</v>
      </c>
      <c r="DP75" s="228" t="e">
        <f t="shared" si="62"/>
        <v>#REF!</v>
      </c>
      <c r="DQ75" s="228" t="e">
        <f t="shared" si="63"/>
        <v>#REF!</v>
      </c>
    </row>
    <row r="76" spans="1:121">
      <c r="A76" s="132">
        <f t="shared" ref="A76:A139" si="107">IF(A75=0,0,IF(B75+1&gt;$D$9,0,A75+1))</f>
        <v>66</v>
      </c>
      <c r="B76" s="18">
        <f t="shared" si="64"/>
        <v>66</v>
      </c>
      <c r="C76" s="18">
        <f>IF(A76=0," ",VLOOKUP(B76,'tosafot '!$A$7:$B$234,2,0))</f>
        <v>6.2012999999999998</v>
      </c>
      <c r="D76" s="220">
        <f t="shared" si="65"/>
        <v>228</v>
      </c>
      <c r="E76" s="130">
        <f t="shared" si="66"/>
        <v>12.2026</v>
      </c>
      <c r="F76" s="126">
        <f t="shared" si="67"/>
        <v>22</v>
      </c>
      <c r="G76" s="18" t="str">
        <f t="shared" si="68"/>
        <v>התחבורה</v>
      </c>
      <c r="H76" s="189">
        <f t="shared" si="69"/>
        <v>122</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36.75</v>
      </c>
      <c r="R76" s="128">
        <f t="shared" si="78"/>
        <v>148</v>
      </c>
      <c r="S76" s="130">
        <f t="shared" si="79"/>
        <v>1.4414995494685181</v>
      </c>
      <c r="T76" s="135">
        <f t="shared" ref="T76:T139" si="108">IF(A76=0," ",+T75)</f>
        <v>0</v>
      </c>
      <c r="U76" s="127">
        <f t="shared" ref="U76:U139" si="109">IF(A76=0," ",+U75)</f>
        <v>0</v>
      </c>
      <c r="V76" s="217">
        <v>0</v>
      </c>
      <c r="W76" s="191">
        <v>0</v>
      </c>
      <c r="X76" s="133">
        <v>0</v>
      </c>
      <c r="Y76" s="131">
        <f t="shared" ref="Y76:Y139" si="110">IF(A76=0," ",+Y75)</f>
        <v>2438.5</v>
      </c>
      <c r="Z76" s="131">
        <f t="shared" ref="Z76:Z139" si="111">IF(A76=0," ",+Z75)</f>
        <v>1076.5966513789815</v>
      </c>
      <c r="AA76" s="242">
        <f t="shared" ref="AA76:AA139" si="112">IF(A76=0," ",AA75)</f>
        <v>3515.0966513789817</v>
      </c>
      <c r="AB76" s="131">
        <f t="shared" ref="AB76:AB139" si="113">IF(A76=0," ",AB75)</f>
        <v>0</v>
      </c>
      <c r="AC76" s="131">
        <f t="shared" ref="AC76:AC139" si="114">IF(A76=0," ",AC75)</f>
        <v>140.60386605515927</v>
      </c>
      <c r="AD76" s="131">
        <f t="shared" ref="AD76:AD139" si="115">IF(A76=0," ",AD75)</f>
        <v>0</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160.55836672570746</v>
      </c>
      <c r="CC76" s="131">
        <f t="shared" ref="CC76:CC139" si="133">IF(A76=0," ",CC75)</f>
        <v>0</v>
      </c>
      <c r="CD76" s="136">
        <f t="shared" ref="CD76:CD139" si="134">IF(A76=0," ",CD75)</f>
        <v>0</v>
      </c>
      <c r="CE76" s="131">
        <f t="shared" si="102"/>
        <v>0</v>
      </c>
      <c r="CF76" s="136">
        <f t="shared" ref="CF76:CF139" si="135">IF(A76=0," ",+CF75)</f>
        <v>0</v>
      </c>
      <c r="CG76" s="136"/>
      <c r="CH76" s="136">
        <f t="shared" si="101"/>
        <v>0</v>
      </c>
      <c r="CI76" s="131">
        <f t="shared" ref="CI76:CI139" si="136">IF(A76=0," ",CI75)</f>
        <v>0</v>
      </c>
      <c r="CJ76" s="131"/>
      <c r="CK76" s="136">
        <f t="shared" ref="CK76:CK139" si="137">IF(A76=0," ",+CK75)</f>
        <v>0</v>
      </c>
      <c r="CL76" s="136">
        <f t="shared" ref="CL76:CL139" si="138">IF(A76=0," ",+CL75)</f>
        <v>804.25411383551102</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0</v>
      </c>
      <c r="DC76" s="131">
        <f t="shared" si="105"/>
        <v>0</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4620.5129979953599</v>
      </c>
      <c r="DL76" s="227" t="e">
        <f t="shared" ref="DL76:DL139" si="151">IF(A76=0," ",DL75)</f>
        <v>#REF!</v>
      </c>
      <c r="DM76" s="227" t="e">
        <f t="shared" ref="DM76:DM139" si="152">IF(A76=0," ",DM75)</f>
        <v>#REF!</v>
      </c>
      <c r="DN76" s="228" t="e">
        <f t="shared" si="106"/>
        <v>#REF!</v>
      </c>
      <c r="DO76" s="228">
        <f t="shared" ref="DO76:DO139" si="153">IF(A76=0," ",DO75)</f>
        <v>194.35242757490622</v>
      </c>
      <c r="DP76" s="228" t="e">
        <f t="shared" ref="DP76:DP139" si="154">IF(A75=0," ",DP75)</f>
        <v>#REF!</v>
      </c>
      <c r="DQ76" s="228" t="e">
        <f t="shared" ref="DQ76:DQ139" si="155">IF(A75=0," ",DQ75)</f>
        <v>#REF!</v>
      </c>
    </row>
    <row r="77" spans="1:121">
      <c r="A77" s="132">
        <f t="shared" si="107"/>
        <v>67</v>
      </c>
      <c r="B77" s="18">
        <f t="shared" ref="B77:B140" si="156">IF(A77=0," ",B76+1)</f>
        <v>67</v>
      </c>
      <c r="C77" s="18">
        <f>IF(A77=0," ",VLOOKUP(B77,'tosafot '!$A$7:$B$234,2,0))</f>
        <v>7.2012999999999998</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36.75</v>
      </c>
      <c r="R77" s="128">
        <f t="shared" ref="R77:R140" si="170">IF(A77=0," ",+R76)</f>
        <v>148</v>
      </c>
      <c r="S77" s="130">
        <f t="shared" ref="S77:S140" si="171">IF(A77=0," ",+S76)</f>
        <v>1.4414995494685181</v>
      </c>
      <c r="T77" s="135">
        <f t="shared" si="108"/>
        <v>0</v>
      </c>
      <c r="U77" s="127">
        <f t="shared" si="109"/>
        <v>0</v>
      </c>
      <c r="V77" s="217">
        <v>0</v>
      </c>
      <c r="W77" s="191">
        <v>0</v>
      </c>
      <c r="X77" s="133">
        <v>0</v>
      </c>
      <c r="Y77" s="131">
        <f t="shared" si="110"/>
        <v>2438.5</v>
      </c>
      <c r="Z77" s="131">
        <f t="shared" si="111"/>
        <v>1076.5966513789815</v>
      </c>
      <c r="AA77" s="242">
        <f t="shared" si="112"/>
        <v>3515.0966513789817</v>
      </c>
      <c r="AB77" s="131">
        <f t="shared" si="113"/>
        <v>0</v>
      </c>
      <c r="AC77" s="131">
        <f t="shared" si="114"/>
        <v>140.60386605515927</v>
      </c>
      <c r="AD77" s="131">
        <f t="shared" si="115"/>
        <v>0</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160.55836672570746</v>
      </c>
      <c r="CC77" s="131">
        <f t="shared" si="133"/>
        <v>0</v>
      </c>
      <c r="CD77" s="136">
        <f t="shared" si="134"/>
        <v>0</v>
      </c>
      <c r="CE77" s="131">
        <f t="shared" si="102"/>
        <v>0</v>
      </c>
      <c r="CF77" s="136">
        <f t="shared" si="135"/>
        <v>0</v>
      </c>
      <c r="CG77" s="136"/>
      <c r="CH77" s="136">
        <f t="shared" si="101"/>
        <v>0</v>
      </c>
      <c r="CI77" s="131">
        <f t="shared" si="136"/>
        <v>0</v>
      </c>
      <c r="CJ77" s="131"/>
      <c r="CK77" s="136">
        <f t="shared" si="137"/>
        <v>0</v>
      </c>
      <c r="CL77" s="136">
        <f t="shared" si="138"/>
        <v>804.25411383551102</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0</v>
      </c>
      <c r="DC77" s="131">
        <f t="shared" si="105"/>
        <v>0</v>
      </c>
      <c r="DD77" s="131">
        <f t="shared" si="147"/>
        <v>0</v>
      </c>
      <c r="DE77" s="131">
        <f t="shared" si="148"/>
        <v>0</v>
      </c>
      <c r="DF77" s="131">
        <f t="shared" si="149"/>
        <v>0</v>
      </c>
      <c r="DG77" s="131">
        <f t="shared" si="150"/>
        <v>0</v>
      </c>
      <c r="DH77" s="131"/>
      <c r="DI77" s="131"/>
      <c r="DJ77" s="131"/>
      <c r="DK77" s="137">
        <f t="shared" ref="DK77:DK140" si="180">IF(A77=0," ",SUM(AA77:DG77))</f>
        <v>4620.5129979953599</v>
      </c>
      <c r="DL77" s="227" t="e">
        <f t="shared" si="151"/>
        <v>#REF!</v>
      </c>
      <c r="DM77" s="227" t="e">
        <f t="shared" si="152"/>
        <v>#REF!</v>
      </c>
      <c r="DN77" s="228" t="e">
        <f t="shared" si="106"/>
        <v>#REF!</v>
      </c>
      <c r="DO77" s="228">
        <f t="shared" si="153"/>
        <v>194.35242757490622</v>
      </c>
      <c r="DP77" s="228" t="e">
        <f t="shared" si="154"/>
        <v>#REF!</v>
      </c>
      <c r="DQ77" s="228" t="e">
        <f t="shared" si="155"/>
        <v>#REF!</v>
      </c>
    </row>
    <row r="78" spans="1:121">
      <c r="A78" s="132">
        <f t="shared" si="107"/>
        <v>68</v>
      </c>
      <c r="B78" s="18">
        <f t="shared" si="156"/>
        <v>68</v>
      </c>
      <c r="C78" s="18">
        <f>IF(A78=0," ",VLOOKUP(B78,'tosafot '!$A$7:$B$234,2,0))</f>
        <v>8.2012999999999998</v>
      </c>
      <c r="D78" s="220">
        <f t="shared" si="157"/>
        <v>228</v>
      </c>
      <c r="E78" s="130">
        <f t="shared" si="158"/>
        <v>12.2026</v>
      </c>
      <c r="F78" s="126">
        <f t="shared" si="159"/>
        <v>22</v>
      </c>
      <c r="G78" s="18" t="str">
        <f t="shared" si="160"/>
        <v>התחבורה</v>
      </c>
      <c r="H78" s="189">
        <f t="shared" si="161"/>
        <v>122</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36.75</v>
      </c>
      <c r="R78" s="128">
        <f t="shared" si="170"/>
        <v>148</v>
      </c>
      <c r="S78" s="130">
        <f t="shared" si="171"/>
        <v>1.4414995494685181</v>
      </c>
      <c r="T78" s="135">
        <f t="shared" si="108"/>
        <v>0</v>
      </c>
      <c r="U78" s="127">
        <f t="shared" si="109"/>
        <v>0</v>
      </c>
      <c r="V78" s="217">
        <v>0</v>
      </c>
      <c r="W78" s="191">
        <v>0</v>
      </c>
      <c r="X78" s="133">
        <v>0</v>
      </c>
      <c r="Y78" s="131">
        <f t="shared" si="110"/>
        <v>2438.5</v>
      </c>
      <c r="Z78" s="131">
        <f t="shared" si="111"/>
        <v>1076.5966513789815</v>
      </c>
      <c r="AA78" s="242">
        <f t="shared" si="112"/>
        <v>3515.0966513789817</v>
      </c>
      <c r="AB78" s="131">
        <f t="shared" si="113"/>
        <v>0</v>
      </c>
      <c r="AC78" s="131">
        <f t="shared" si="114"/>
        <v>140.60386605515927</v>
      </c>
      <c r="AD78" s="131">
        <f t="shared" si="115"/>
        <v>0</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160.55836672570746</v>
      </c>
      <c r="CC78" s="131">
        <f t="shared" si="133"/>
        <v>0</v>
      </c>
      <c r="CD78" s="136">
        <f t="shared" si="134"/>
        <v>0</v>
      </c>
      <c r="CE78" s="131">
        <f t="shared" si="102"/>
        <v>0</v>
      </c>
      <c r="CF78" s="136">
        <f t="shared" si="135"/>
        <v>0</v>
      </c>
      <c r="CG78" s="136"/>
      <c r="CH78" s="136">
        <f t="shared" ref="CH78:CH141" si="181">IF(A78=0," ",+CH77)</f>
        <v>0</v>
      </c>
      <c r="CI78" s="131">
        <f t="shared" si="136"/>
        <v>0</v>
      </c>
      <c r="CJ78" s="131"/>
      <c r="CK78" s="136">
        <f t="shared" si="137"/>
        <v>0</v>
      </c>
      <c r="CL78" s="136">
        <f t="shared" si="138"/>
        <v>804.25411383551102</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0</v>
      </c>
      <c r="DC78" s="131">
        <f t="shared" si="105"/>
        <v>0</v>
      </c>
      <c r="DD78" s="131">
        <f t="shared" si="147"/>
        <v>0</v>
      </c>
      <c r="DE78" s="131">
        <f t="shared" si="148"/>
        <v>0</v>
      </c>
      <c r="DF78" s="131">
        <f t="shared" si="149"/>
        <v>0</v>
      </c>
      <c r="DG78" s="131">
        <f t="shared" si="150"/>
        <v>0</v>
      </c>
      <c r="DH78" s="131"/>
      <c r="DI78" s="131"/>
      <c r="DJ78" s="131"/>
      <c r="DK78" s="137">
        <f t="shared" si="180"/>
        <v>4620.5129979953599</v>
      </c>
      <c r="DL78" s="227" t="e">
        <f t="shared" si="151"/>
        <v>#REF!</v>
      </c>
      <c r="DM78" s="227" t="e">
        <f t="shared" si="152"/>
        <v>#REF!</v>
      </c>
      <c r="DN78" s="228" t="e">
        <f t="shared" si="106"/>
        <v>#REF!</v>
      </c>
      <c r="DO78" s="228">
        <f t="shared" si="153"/>
        <v>194.35242757490622</v>
      </c>
      <c r="DP78" s="228" t="e">
        <f t="shared" si="154"/>
        <v>#REF!</v>
      </c>
      <c r="DQ78" s="228" t="e">
        <f t="shared" si="155"/>
        <v>#REF!</v>
      </c>
    </row>
    <row r="79" spans="1:121">
      <c r="A79" s="132">
        <f t="shared" si="107"/>
        <v>69</v>
      </c>
      <c r="B79" s="18">
        <f t="shared" si="156"/>
        <v>69</v>
      </c>
      <c r="C79" s="18">
        <f>IF(A79=0," ",VLOOKUP(B79,'tosafot '!$A$7:$B$234,2,0))</f>
        <v>9.2012999999999998</v>
      </c>
      <c r="D79" s="220">
        <f t="shared" si="157"/>
        <v>228</v>
      </c>
      <c r="E79" s="130">
        <f t="shared" si="158"/>
        <v>12.2026</v>
      </c>
      <c r="F79" s="126">
        <f t="shared" si="159"/>
        <v>22</v>
      </c>
      <c r="G79" s="18" t="str">
        <f t="shared" si="160"/>
        <v>התחבורה</v>
      </c>
      <c r="H79" s="189">
        <f t="shared" si="161"/>
        <v>122</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36.75</v>
      </c>
      <c r="R79" s="128">
        <f t="shared" si="170"/>
        <v>148</v>
      </c>
      <c r="S79" s="130">
        <f t="shared" si="171"/>
        <v>1.4414995494685181</v>
      </c>
      <c r="T79" s="135">
        <f t="shared" si="108"/>
        <v>0</v>
      </c>
      <c r="U79" s="127">
        <f t="shared" si="109"/>
        <v>0</v>
      </c>
      <c r="V79" s="217">
        <v>0</v>
      </c>
      <c r="W79" s="191">
        <v>0</v>
      </c>
      <c r="X79" s="133">
        <v>0</v>
      </c>
      <c r="Y79" s="131">
        <f t="shared" si="110"/>
        <v>2438.5</v>
      </c>
      <c r="Z79" s="131">
        <f t="shared" si="111"/>
        <v>1076.5966513789815</v>
      </c>
      <c r="AA79" s="242">
        <f t="shared" si="112"/>
        <v>3515.0966513789817</v>
      </c>
      <c r="AB79" s="131">
        <f t="shared" si="113"/>
        <v>0</v>
      </c>
      <c r="AC79" s="131">
        <f t="shared" si="114"/>
        <v>140.60386605515927</v>
      </c>
      <c r="AD79" s="131">
        <f t="shared" si="115"/>
        <v>0</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160.55836672570746</v>
      </c>
      <c r="CC79" s="131">
        <f t="shared" si="133"/>
        <v>0</v>
      </c>
      <c r="CD79" s="136">
        <f t="shared" si="134"/>
        <v>0</v>
      </c>
      <c r="CE79" s="131">
        <f t="shared" si="102"/>
        <v>0</v>
      </c>
      <c r="CF79" s="136">
        <f t="shared" si="135"/>
        <v>0</v>
      </c>
      <c r="CG79" s="136"/>
      <c r="CH79" s="136">
        <f t="shared" si="181"/>
        <v>0</v>
      </c>
      <c r="CI79" s="131">
        <f t="shared" si="136"/>
        <v>0</v>
      </c>
      <c r="CJ79" s="131"/>
      <c r="CK79" s="136">
        <f t="shared" si="137"/>
        <v>0</v>
      </c>
      <c r="CL79" s="136">
        <f t="shared" si="138"/>
        <v>804.25411383551102</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0</v>
      </c>
      <c r="DC79" s="131">
        <f t="shared" si="105"/>
        <v>0</v>
      </c>
      <c r="DD79" s="131">
        <f t="shared" si="147"/>
        <v>0</v>
      </c>
      <c r="DE79" s="131">
        <f t="shared" si="148"/>
        <v>0</v>
      </c>
      <c r="DF79" s="131">
        <f t="shared" si="149"/>
        <v>0</v>
      </c>
      <c r="DG79" s="131">
        <f t="shared" si="150"/>
        <v>0</v>
      </c>
      <c r="DH79" s="131"/>
      <c r="DI79" s="131"/>
      <c r="DJ79" s="131"/>
      <c r="DK79" s="137">
        <f t="shared" si="180"/>
        <v>4620.5129979953599</v>
      </c>
      <c r="DL79" s="227" t="e">
        <f t="shared" si="151"/>
        <v>#REF!</v>
      </c>
      <c r="DM79" s="227" t="e">
        <f t="shared" si="152"/>
        <v>#REF!</v>
      </c>
      <c r="DN79" s="228" t="e">
        <f t="shared" si="106"/>
        <v>#REF!</v>
      </c>
      <c r="DO79" s="228">
        <f t="shared" si="153"/>
        <v>194.35242757490622</v>
      </c>
      <c r="DP79" s="228" t="e">
        <f t="shared" si="154"/>
        <v>#REF!</v>
      </c>
      <c r="DQ79" s="228" t="e">
        <f t="shared" si="155"/>
        <v>#REF!</v>
      </c>
    </row>
    <row r="80" spans="1:121">
      <c r="A80" s="132">
        <f t="shared" si="107"/>
        <v>70</v>
      </c>
      <c r="B80" s="18">
        <f t="shared" si="156"/>
        <v>70</v>
      </c>
      <c r="C80" s="18">
        <f>IF(A80=0," ",VLOOKUP(B80,'tosafot '!$A$7:$B$234,2,0))</f>
        <v>10.2013</v>
      </c>
      <c r="D80" s="220">
        <f t="shared" si="157"/>
        <v>228</v>
      </c>
      <c r="E80" s="130">
        <f t="shared" si="158"/>
        <v>12.2026</v>
      </c>
      <c r="F80" s="126">
        <f t="shared" si="159"/>
        <v>22</v>
      </c>
      <c r="G80" s="18" t="str">
        <f t="shared" si="160"/>
        <v>התחבורה</v>
      </c>
      <c r="H80" s="189">
        <f t="shared" si="161"/>
        <v>122</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36.75</v>
      </c>
      <c r="R80" s="128">
        <f t="shared" si="170"/>
        <v>148</v>
      </c>
      <c r="S80" s="130">
        <f t="shared" si="171"/>
        <v>1.4414995494685181</v>
      </c>
      <c r="T80" s="135">
        <f t="shared" si="108"/>
        <v>0</v>
      </c>
      <c r="U80" s="127">
        <f t="shared" si="109"/>
        <v>0</v>
      </c>
      <c r="V80" s="217">
        <v>0</v>
      </c>
      <c r="W80" s="191">
        <v>0</v>
      </c>
      <c r="X80" s="133">
        <v>0</v>
      </c>
      <c r="Y80" s="131">
        <f t="shared" si="110"/>
        <v>2438.5</v>
      </c>
      <c r="Z80" s="131">
        <f t="shared" si="111"/>
        <v>1076.5966513789815</v>
      </c>
      <c r="AA80" s="242">
        <f t="shared" si="112"/>
        <v>3515.0966513789817</v>
      </c>
      <c r="AB80" s="131">
        <f t="shared" si="113"/>
        <v>0</v>
      </c>
      <c r="AC80" s="131">
        <f t="shared" si="114"/>
        <v>140.60386605515927</v>
      </c>
      <c r="AD80" s="131">
        <f t="shared" si="115"/>
        <v>0</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160.55836672570746</v>
      </c>
      <c r="CC80" s="131">
        <f t="shared" si="133"/>
        <v>0</v>
      </c>
      <c r="CD80" s="136">
        <f t="shared" si="134"/>
        <v>0</v>
      </c>
      <c r="CE80" s="131">
        <f t="shared" si="102"/>
        <v>0</v>
      </c>
      <c r="CF80" s="136">
        <f t="shared" si="135"/>
        <v>0</v>
      </c>
      <c r="CG80" s="136"/>
      <c r="CH80" s="136">
        <f t="shared" si="181"/>
        <v>0</v>
      </c>
      <c r="CI80" s="131">
        <f t="shared" si="136"/>
        <v>0</v>
      </c>
      <c r="CJ80" s="131"/>
      <c r="CK80" s="136">
        <f t="shared" si="137"/>
        <v>0</v>
      </c>
      <c r="CL80" s="136">
        <f t="shared" si="138"/>
        <v>804.25411383551102</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0</v>
      </c>
      <c r="DC80" s="131">
        <f t="shared" si="105"/>
        <v>0</v>
      </c>
      <c r="DD80" s="131">
        <f t="shared" si="147"/>
        <v>0</v>
      </c>
      <c r="DE80" s="131">
        <f t="shared" si="148"/>
        <v>0</v>
      </c>
      <c r="DF80" s="131">
        <f t="shared" si="149"/>
        <v>0</v>
      </c>
      <c r="DG80" s="131">
        <f t="shared" si="150"/>
        <v>0</v>
      </c>
      <c r="DH80" s="131"/>
      <c r="DI80" s="131"/>
      <c r="DJ80" s="131"/>
      <c r="DK80" s="137">
        <f t="shared" si="180"/>
        <v>4620.5129979953599</v>
      </c>
      <c r="DL80" s="227" t="e">
        <f t="shared" si="151"/>
        <v>#REF!</v>
      </c>
      <c r="DM80" s="227" t="e">
        <f t="shared" si="152"/>
        <v>#REF!</v>
      </c>
      <c r="DN80" s="228" t="e">
        <f t="shared" si="106"/>
        <v>#REF!</v>
      </c>
      <c r="DO80" s="228">
        <f t="shared" si="153"/>
        <v>194.35242757490622</v>
      </c>
      <c r="DP80" s="228" t="e">
        <f t="shared" si="154"/>
        <v>#REF!</v>
      </c>
      <c r="DQ80" s="228" t="e">
        <f t="shared" si="155"/>
        <v>#REF!</v>
      </c>
    </row>
    <row r="81" spans="1:121">
      <c r="A81" s="132">
        <f t="shared" si="107"/>
        <v>71</v>
      </c>
      <c r="B81" s="18">
        <f t="shared" si="156"/>
        <v>71</v>
      </c>
      <c r="C81" s="18">
        <f>IF(A81=0," ",VLOOKUP(B81,'tosafot '!$A$7:$B$234,2,0))</f>
        <v>11.2013</v>
      </c>
      <c r="D81" s="220">
        <f t="shared" si="157"/>
        <v>228</v>
      </c>
      <c r="E81" s="130">
        <f t="shared" si="158"/>
        <v>12.2026</v>
      </c>
      <c r="F81" s="126">
        <f t="shared" si="159"/>
        <v>22</v>
      </c>
      <c r="G81" s="18" t="str">
        <f t="shared" si="160"/>
        <v>התחבורה</v>
      </c>
      <c r="H81" s="189">
        <f t="shared" si="161"/>
        <v>122</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36.75</v>
      </c>
      <c r="R81" s="128">
        <f t="shared" si="170"/>
        <v>148</v>
      </c>
      <c r="S81" s="130">
        <f t="shared" si="171"/>
        <v>1.4414995494685181</v>
      </c>
      <c r="T81" s="135">
        <f t="shared" si="108"/>
        <v>0</v>
      </c>
      <c r="U81" s="127">
        <f t="shared" si="109"/>
        <v>0</v>
      </c>
      <c r="V81" s="217">
        <v>0</v>
      </c>
      <c r="W81" s="191">
        <v>0</v>
      </c>
      <c r="X81" s="133">
        <v>0</v>
      </c>
      <c r="Y81" s="131">
        <f t="shared" si="110"/>
        <v>2438.5</v>
      </c>
      <c r="Z81" s="131">
        <f t="shared" si="111"/>
        <v>1076.5966513789815</v>
      </c>
      <c r="AA81" s="242">
        <f t="shared" si="112"/>
        <v>3515.0966513789817</v>
      </c>
      <c r="AB81" s="131">
        <f t="shared" si="113"/>
        <v>0</v>
      </c>
      <c r="AC81" s="131">
        <f t="shared" si="114"/>
        <v>140.60386605515927</v>
      </c>
      <c r="AD81" s="131">
        <f t="shared" si="115"/>
        <v>0</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160.55836672570746</v>
      </c>
      <c r="CC81" s="131">
        <f t="shared" si="133"/>
        <v>0</v>
      </c>
      <c r="CD81" s="136">
        <f t="shared" si="134"/>
        <v>0</v>
      </c>
      <c r="CE81" s="131">
        <f t="shared" ref="CE81:CE144" si="182">IF(A81=0," ",CE80)</f>
        <v>0</v>
      </c>
      <c r="CF81" s="136">
        <f t="shared" si="135"/>
        <v>0</v>
      </c>
      <c r="CG81" s="136"/>
      <c r="CH81" s="136">
        <f t="shared" si="181"/>
        <v>0</v>
      </c>
      <c r="CI81" s="131">
        <f t="shared" si="136"/>
        <v>0</v>
      </c>
      <c r="CJ81" s="131"/>
      <c r="CK81" s="136">
        <f t="shared" si="137"/>
        <v>0</v>
      </c>
      <c r="CL81" s="136">
        <f t="shared" si="138"/>
        <v>804.25411383551102</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0</v>
      </c>
      <c r="DC81" s="131">
        <f t="shared" si="105"/>
        <v>0</v>
      </c>
      <c r="DD81" s="131">
        <f t="shared" si="147"/>
        <v>0</v>
      </c>
      <c r="DE81" s="131">
        <f t="shared" si="148"/>
        <v>0</v>
      </c>
      <c r="DF81" s="131">
        <f t="shared" si="149"/>
        <v>0</v>
      </c>
      <c r="DG81" s="131">
        <f t="shared" si="150"/>
        <v>0</v>
      </c>
      <c r="DH81" s="131"/>
      <c r="DI81" s="131"/>
      <c r="DJ81" s="131"/>
      <c r="DK81" s="137">
        <f t="shared" si="180"/>
        <v>4620.5129979953599</v>
      </c>
      <c r="DL81" s="227" t="e">
        <f t="shared" si="151"/>
        <v>#REF!</v>
      </c>
      <c r="DM81" s="227" t="e">
        <f t="shared" si="152"/>
        <v>#REF!</v>
      </c>
      <c r="DN81" s="228" t="e">
        <f t="shared" si="106"/>
        <v>#REF!</v>
      </c>
      <c r="DO81" s="228">
        <f t="shared" si="153"/>
        <v>194.35242757490622</v>
      </c>
      <c r="DP81" s="228" t="e">
        <f t="shared" si="154"/>
        <v>#REF!</v>
      </c>
      <c r="DQ81" s="228" t="e">
        <f t="shared" si="155"/>
        <v>#REF!</v>
      </c>
    </row>
    <row r="82" spans="1:121">
      <c r="A82" s="132">
        <f t="shared" si="107"/>
        <v>72</v>
      </c>
      <c r="B82" s="18">
        <f t="shared" si="156"/>
        <v>72</v>
      </c>
      <c r="C82" s="18">
        <f>IF(A82=0," ",VLOOKUP(B82,'tosafot '!$A$7:$B$234,2,0))</f>
        <v>12.2013</v>
      </c>
      <c r="D82" s="220">
        <f t="shared" si="157"/>
        <v>228</v>
      </c>
      <c r="E82" s="130">
        <f t="shared" si="158"/>
        <v>12.2026</v>
      </c>
      <c r="F82" s="126">
        <f t="shared" si="159"/>
        <v>22</v>
      </c>
      <c r="G82" s="18" t="str">
        <f t="shared" si="160"/>
        <v>התחבורה</v>
      </c>
      <c r="H82" s="189">
        <f t="shared" si="161"/>
        <v>122</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36.75</v>
      </c>
      <c r="R82" s="128">
        <f t="shared" si="170"/>
        <v>148</v>
      </c>
      <c r="S82" s="130">
        <f t="shared" si="171"/>
        <v>1.4414995494685181</v>
      </c>
      <c r="T82" s="135">
        <f t="shared" si="108"/>
        <v>0</v>
      </c>
      <c r="U82" s="127">
        <f t="shared" si="109"/>
        <v>0</v>
      </c>
      <c r="V82" s="217">
        <v>0</v>
      </c>
      <c r="W82" s="191">
        <v>0</v>
      </c>
      <c r="X82" s="133">
        <v>0</v>
      </c>
      <c r="Y82" s="131">
        <f t="shared" si="110"/>
        <v>2438.5</v>
      </c>
      <c r="Z82" s="131">
        <f t="shared" si="111"/>
        <v>1076.5966513789815</v>
      </c>
      <c r="AA82" s="242">
        <f t="shared" si="112"/>
        <v>3515.0966513789817</v>
      </c>
      <c r="AB82" s="131">
        <f t="shared" si="113"/>
        <v>0</v>
      </c>
      <c r="AC82" s="131">
        <f t="shared" si="114"/>
        <v>140.60386605515927</v>
      </c>
      <c r="AD82" s="131">
        <f t="shared" si="115"/>
        <v>0</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160.55836672570746</v>
      </c>
      <c r="CC82" s="131">
        <f t="shared" si="133"/>
        <v>0</v>
      </c>
      <c r="CD82" s="136">
        <f t="shared" si="134"/>
        <v>0</v>
      </c>
      <c r="CE82" s="131">
        <f t="shared" si="182"/>
        <v>0</v>
      </c>
      <c r="CF82" s="136">
        <f t="shared" si="135"/>
        <v>0</v>
      </c>
      <c r="CG82" s="136"/>
      <c r="CH82" s="136">
        <f t="shared" si="181"/>
        <v>0</v>
      </c>
      <c r="CI82" s="131">
        <f t="shared" si="136"/>
        <v>0</v>
      </c>
      <c r="CJ82" s="131"/>
      <c r="CK82" s="136">
        <f t="shared" si="137"/>
        <v>0</v>
      </c>
      <c r="CL82" s="136">
        <f t="shared" si="138"/>
        <v>804.25411383551102</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0</v>
      </c>
      <c r="DC82" s="131">
        <f t="shared" si="105"/>
        <v>0</v>
      </c>
      <c r="DD82" s="131">
        <f t="shared" si="147"/>
        <v>0</v>
      </c>
      <c r="DE82" s="131">
        <f t="shared" si="148"/>
        <v>0</v>
      </c>
      <c r="DF82" s="131">
        <f t="shared" si="149"/>
        <v>0</v>
      </c>
      <c r="DG82" s="131">
        <f t="shared" si="150"/>
        <v>0</v>
      </c>
      <c r="DH82" s="131"/>
      <c r="DI82" s="131"/>
      <c r="DJ82" s="131"/>
      <c r="DK82" s="137">
        <f t="shared" si="180"/>
        <v>4620.5129979953599</v>
      </c>
      <c r="DL82" s="227" t="e">
        <f t="shared" si="151"/>
        <v>#REF!</v>
      </c>
      <c r="DM82" s="227" t="e">
        <f t="shared" si="152"/>
        <v>#REF!</v>
      </c>
      <c r="DN82" s="228" t="e">
        <f t="shared" si="106"/>
        <v>#REF!</v>
      </c>
      <c r="DO82" s="228">
        <f t="shared" si="153"/>
        <v>194.35242757490622</v>
      </c>
      <c r="DP82" s="228" t="e">
        <f t="shared" si="154"/>
        <v>#REF!</v>
      </c>
      <c r="DQ82" s="228" t="e">
        <f t="shared" si="155"/>
        <v>#REF!</v>
      </c>
    </row>
    <row r="83" spans="1:121">
      <c r="A83" s="132">
        <f t="shared" si="107"/>
        <v>73</v>
      </c>
      <c r="B83" s="18">
        <f t="shared" si="156"/>
        <v>73</v>
      </c>
      <c r="C83" s="18">
        <f>IF(A83=0," ",VLOOKUP(B83,'tosafot '!$A$7:$B$234,2,0))</f>
        <v>1.2014</v>
      </c>
      <c r="D83" s="220">
        <f t="shared" si="157"/>
        <v>228</v>
      </c>
      <c r="E83" s="130">
        <f t="shared" si="158"/>
        <v>12.2026</v>
      </c>
      <c r="F83" s="126">
        <f t="shared" si="159"/>
        <v>22</v>
      </c>
      <c r="G83" s="18" t="str">
        <f t="shared" si="160"/>
        <v>התחבורה</v>
      </c>
      <c r="H83" s="189">
        <f t="shared" si="161"/>
        <v>122</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36.75</v>
      </c>
      <c r="R83" s="128">
        <f t="shared" si="170"/>
        <v>148</v>
      </c>
      <c r="S83" s="130">
        <f t="shared" si="171"/>
        <v>1.4414995494685181</v>
      </c>
      <c r="T83" s="135">
        <f t="shared" si="108"/>
        <v>0</v>
      </c>
      <c r="U83" s="127">
        <f t="shared" si="109"/>
        <v>0</v>
      </c>
      <c r="V83" s="217">
        <v>0</v>
      </c>
      <c r="W83" s="191">
        <v>0</v>
      </c>
      <c r="X83" s="133">
        <v>0</v>
      </c>
      <c r="Y83" s="131">
        <f t="shared" si="110"/>
        <v>2438.5</v>
      </c>
      <c r="Z83" s="131">
        <f t="shared" si="111"/>
        <v>1076.5966513789815</v>
      </c>
      <c r="AA83" s="242">
        <f t="shared" si="112"/>
        <v>3515.0966513789817</v>
      </c>
      <c r="AB83" s="131">
        <f t="shared" si="113"/>
        <v>0</v>
      </c>
      <c r="AC83" s="131">
        <f t="shared" si="114"/>
        <v>140.60386605515927</v>
      </c>
      <c r="AD83" s="131">
        <f t="shared" si="115"/>
        <v>0</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160.55836672570746</v>
      </c>
      <c r="CC83" s="131">
        <f t="shared" si="133"/>
        <v>0</v>
      </c>
      <c r="CD83" s="136">
        <f t="shared" si="134"/>
        <v>0</v>
      </c>
      <c r="CE83" s="131">
        <f t="shared" si="182"/>
        <v>0</v>
      </c>
      <c r="CF83" s="136">
        <f t="shared" si="135"/>
        <v>0</v>
      </c>
      <c r="CG83" s="136"/>
      <c r="CH83" s="136">
        <f t="shared" si="181"/>
        <v>0</v>
      </c>
      <c r="CI83" s="131">
        <f t="shared" si="136"/>
        <v>0</v>
      </c>
      <c r="CJ83" s="131"/>
      <c r="CK83" s="136">
        <f t="shared" si="137"/>
        <v>0</v>
      </c>
      <c r="CL83" s="136">
        <f t="shared" si="138"/>
        <v>804.25411383551102</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0</v>
      </c>
      <c r="DC83" s="131">
        <f t="shared" si="105"/>
        <v>0</v>
      </c>
      <c r="DD83" s="131">
        <f t="shared" si="147"/>
        <v>0</v>
      </c>
      <c r="DE83" s="131">
        <f t="shared" si="148"/>
        <v>0</v>
      </c>
      <c r="DF83" s="131">
        <f t="shared" si="149"/>
        <v>0</v>
      </c>
      <c r="DG83" s="131">
        <f t="shared" si="150"/>
        <v>0</v>
      </c>
      <c r="DH83" s="131"/>
      <c r="DI83" s="131"/>
      <c r="DJ83" s="131"/>
      <c r="DK83" s="137">
        <f t="shared" si="180"/>
        <v>4620.5129979953599</v>
      </c>
      <c r="DL83" s="227" t="e">
        <f t="shared" si="151"/>
        <v>#REF!</v>
      </c>
      <c r="DM83" s="227" t="e">
        <f t="shared" si="152"/>
        <v>#REF!</v>
      </c>
      <c r="DN83" s="228" t="e">
        <f t="shared" si="106"/>
        <v>#REF!</v>
      </c>
      <c r="DO83" s="228">
        <f t="shared" si="153"/>
        <v>194.35242757490622</v>
      </c>
      <c r="DP83" s="228" t="e">
        <f t="shared" si="154"/>
        <v>#REF!</v>
      </c>
      <c r="DQ83" s="228" t="e">
        <f t="shared" si="155"/>
        <v>#REF!</v>
      </c>
    </row>
    <row r="84" spans="1:121">
      <c r="A84" s="132">
        <f t="shared" si="107"/>
        <v>74</v>
      </c>
      <c r="B84" s="18">
        <f t="shared" si="156"/>
        <v>74</v>
      </c>
      <c r="C84" s="18">
        <f>IF(A84=0," ",VLOOKUP(B84,'tosafot '!$A$7:$B$234,2,0))</f>
        <v>2.2014</v>
      </c>
      <c r="D84" s="220">
        <f t="shared" si="157"/>
        <v>228</v>
      </c>
      <c r="E84" s="130">
        <f t="shared" si="158"/>
        <v>12.2026</v>
      </c>
      <c r="F84" s="126">
        <f t="shared" si="159"/>
        <v>22</v>
      </c>
      <c r="G84" s="18" t="str">
        <f t="shared" si="160"/>
        <v>התחבורה</v>
      </c>
      <c r="H84" s="189">
        <f t="shared" si="161"/>
        <v>122</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36.75</v>
      </c>
      <c r="R84" s="128">
        <f t="shared" si="170"/>
        <v>148</v>
      </c>
      <c r="S84" s="130">
        <f t="shared" si="171"/>
        <v>1.4414995494685181</v>
      </c>
      <c r="T84" s="135">
        <f t="shared" si="108"/>
        <v>0</v>
      </c>
      <c r="U84" s="127">
        <f t="shared" si="109"/>
        <v>0</v>
      </c>
      <c r="V84" s="217">
        <v>0</v>
      </c>
      <c r="W84" s="191">
        <v>0</v>
      </c>
      <c r="X84" s="133">
        <v>0</v>
      </c>
      <c r="Y84" s="131">
        <f t="shared" si="110"/>
        <v>2438.5</v>
      </c>
      <c r="Z84" s="131">
        <f t="shared" si="111"/>
        <v>1076.5966513789815</v>
      </c>
      <c r="AA84" s="242">
        <f t="shared" si="112"/>
        <v>3515.0966513789817</v>
      </c>
      <c r="AB84" s="131">
        <f t="shared" si="113"/>
        <v>0</v>
      </c>
      <c r="AC84" s="131">
        <f t="shared" si="114"/>
        <v>140.60386605515927</v>
      </c>
      <c r="AD84" s="131">
        <f t="shared" si="115"/>
        <v>0</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160.55836672570746</v>
      </c>
      <c r="CC84" s="131">
        <f t="shared" si="133"/>
        <v>0</v>
      </c>
      <c r="CD84" s="136">
        <f t="shared" si="134"/>
        <v>0</v>
      </c>
      <c r="CE84" s="131">
        <f t="shared" si="182"/>
        <v>0</v>
      </c>
      <c r="CF84" s="136">
        <f t="shared" si="135"/>
        <v>0</v>
      </c>
      <c r="CG84" s="136"/>
      <c r="CH84" s="136">
        <f t="shared" si="181"/>
        <v>0</v>
      </c>
      <c r="CI84" s="131">
        <f t="shared" si="136"/>
        <v>0</v>
      </c>
      <c r="CJ84" s="131"/>
      <c r="CK84" s="136">
        <f t="shared" si="137"/>
        <v>0</v>
      </c>
      <c r="CL84" s="136">
        <f t="shared" si="138"/>
        <v>804.25411383551102</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0</v>
      </c>
      <c r="DC84" s="131">
        <f t="shared" si="105"/>
        <v>0</v>
      </c>
      <c r="DD84" s="131">
        <f t="shared" si="147"/>
        <v>0</v>
      </c>
      <c r="DE84" s="131">
        <f t="shared" si="148"/>
        <v>0</v>
      </c>
      <c r="DF84" s="131">
        <f t="shared" si="149"/>
        <v>0</v>
      </c>
      <c r="DG84" s="131">
        <f t="shared" si="150"/>
        <v>0</v>
      </c>
      <c r="DH84" s="131"/>
      <c r="DI84" s="131"/>
      <c r="DJ84" s="131"/>
      <c r="DK84" s="137">
        <f t="shared" si="180"/>
        <v>4620.5129979953599</v>
      </c>
      <c r="DL84" s="227" t="e">
        <f t="shared" si="151"/>
        <v>#REF!</v>
      </c>
      <c r="DM84" s="227" t="e">
        <f t="shared" si="152"/>
        <v>#REF!</v>
      </c>
      <c r="DN84" s="228" t="e">
        <f t="shared" si="106"/>
        <v>#REF!</v>
      </c>
      <c r="DO84" s="228">
        <f t="shared" si="153"/>
        <v>194.35242757490622</v>
      </c>
      <c r="DP84" s="228" t="e">
        <f t="shared" si="154"/>
        <v>#REF!</v>
      </c>
      <c r="DQ84" s="228" t="e">
        <f t="shared" si="155"/>
        <v>#REF!</v>
      </c>
    </row>
    <row r="85" spans="1:121">
      <c r="A85" s="132">
        <f t="shared" si="107"/>
        <v>75</v>
      </c>
      <c r="B85" s="18">
        <f t="shared" si="156"/>
        <v>75</v>
      </c>
      <c r="C85" s="18">
        <f>IF(A85=0," ",VLOOKUP(B85,'tosafot '!$A$7:$B$234,2,0))</f>
        <v>3.2014</v>
      </c>
      <c r="D85" s="220">
        <f t="shared" si="157"/>
        <v>228</v>
      </c>
      <c r="E85" s="130">
        <f t="shared" si="158"/>
        <v>12.2026</v>
      </c>
      <c r="F85" s="126">
        <f t="shared" si="159"/>
        <v>22</v>
      </c>
      <c r="G85" s="18" t="str">
        <f t="shared" si="160"/>
        <v>התחבורה</v>
      </c>
      <c r="H85" s="189">
        <f t="shared" si="161"/>
        <v>122</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36.75</v>
      </c>
      <c r="R85" s="128">
        <f t="shared" si="170"/>
        <v>148</v>
      </c>
      <c r="S85" s="130">
        <f t="shared" si="171"/>
        <v>1.4414995494685181</v>
      </c>
      <c r="T85" s="135">
        <f t="shared" si="108"/>
        <v>0</v>
      </c>
      <c r="U85" s="127">
        <f t="shared" si="109"/>
        <v>0</v>
      </c>
      <c r="V85" s="217">
        <v>0</v>
      </c>
      <c r="W85" s="191">
        <v>0</v>
      </c>
      <c r="X85" s="133">
        <v>0</v>
      </c>
      <c r="Y85" s="131">
        <f t="shared" si="110"/>
        <v>2438.5</v>
      </c>
      <c r="Z85" s="131">
        <f t="shared" si="111"/>
        <v>1076.5966513789815</v>
      </c>
      <c r="AA85" s="242">
        <f t="shared" si="112"/>
        <v>3515.0966513789817</v>
      </c>
      <c r="AB85" s="131">
        <f t="shared" si="113"/>
        <v>0</v>
      </c>
      <c r="AC85" s="131">
        <f t="shared" si="114"/>
        <v>140.60386605515927</v>
      </c>
      <c r="AD85" s="131">
        <f t="shared" si="115"/>
        <v>0</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160.55836672570746</v>
      </c>
      <c r="CC85" s="131">
        <f t="shared" si="133"/>
        <v>0</v>
      </c>
      <c r="CD85" s="136">
        <f t="shared" si="134"/>
        <v>0</v>
      </c>
      <c r="CE85" s="131">
        <f t="shared" si="182"/>
        <v>0</v>
      </c>
      <c r="CF85" s="136">
        <f t="shared" si="135"/>
        <v>0</v>
      </c>
      <c r="CG85" s="136"/>
      <c r="CH85" s="136">
        <f t="shared" si="181"/>
        <v>0</v>
      </c>
      <c r="CI85" s="131">
        <f t="shared" si="136"/>
        <v>0</v>
      </c>
      <c r="CJ85" s="131"/>
      <c r="CK85" s="136">
        <f t="shared" si="137"/>
        <v>0</v>
      </c>
      <c r="CL85" s="136">
        <f t="shared" si="138"/>
        <v>804.25411383551102</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0</v>
      </c>
      <c r="DC85" s="131">
        <f t="shared" si="105"/>
        <v>0</v>
      </c>
      <c r="DD85" s="131">
        <f t="shared" si="147"/>
        <v>0</v>
      </c>
      <c r="DE85" s="131">
        <f t="shared" si="148"/>
        <v>0</v>
      </c>
      <c r="DF85" s="131">
        <f t="shared" si="149"/>
        <v>0</v>
      </c>
      <c r="DG85" s="131">
        <f t="shared" si="150"/>
        <v>0</v>
      </c>
      <c r="DH85" s="131"/>
      <c r="DI85" s="131"/>
      <c r="DJ85" s="131"/>
      <c r="DK85" s="137">
        <f t="shared" si="180"/>
        <v>4620.5129979953599</v>
      </c>
      <c r="DL85" s="227" t="e">
        <f t="shared" si="151"/>
        <v>#REF!</v>
      </c>
      <c r="DM85" s="227" t="e">
        <f t="shared" si="152"/>
        <v>#REF!</v>
      </c>
      <c r="DN85" s="228" t="e">
        <f t="shared" si="106"/>
        <v>#REF!</v>
      </c>
      <c r="DO85" s="228">
        <f t="shared" si="153"/>
        <v>194.35242757490622</v>
      </c>
      <c r="DP85" s="228" t="e">
        <f t="shared" si="154"/>
        <v>#REF!</v>
      </c>
      <c r="DQ85" s="228" t="e">
        <f t="shared" si="155"/>
        <v>#REF!</v>
      </c>
    </row>
    <row r="86" spans="1:121">
      <c r="A86" s="132">
        <f t="shared" si="107"/>
        <v>76</v>
      </c>
      <c r="B86" s="18">
        <f t="shared" si="156"/>
        <v>76</v>
      </c>
      <c r="C86" s="18">
        <f>IF(A86=0," ",VLOOKUP(B86,'tosafot '!$A$7:$B$234,2,0))</f>
        <v>4.2013999999999996</v>
      </c>
      <c r="D86" s="220">
        <f t="shared" si="157"/>
        <v>228</v>
      </c>
      <c r="E86" s="130">
        <f t="shared" si="158"/>
        <v>12.2026</v>
      </c>
      <c r="F86" s="126">
        <f t="shared" si="159"/>
        <v>22</v>
      </c>
      <c r="G86" s="18" t="str">
        <f t="shared" si="160"/>
        <v>התחבורה</v>
      </c>
      <c r="H86" s="189">
        <f t="shared" si="161"/>
        <v>122</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36.75</v>
      </c>
      <c r="R86" s="128">
        <f t="shared" si="170"/>
        <v>148</v>
      </c>
      <c r="S86" s="130">
        <f t="shared" si="171"/>
        <v>1.4414995494685181</v>
      </c>
      <c r="T86" s="135">
        <f t="shared" si="108"/>
        <v>0</v>
      </c>
      <c r="U86" s="127">
        <f t="shared" si="109"/>
        <v>0</v>
      </c>
      <c r="V86" s="217">
        <v>0</v>
      </c>
      <c r="W86" s="191">
        <v>0</v>
      </c>
      <c r="X86" s="133">
        <v>0</v>
      </c>
      <c r="Y86" s="131">
        <f t="shared" si="110"/>
        <v>2438.5</v>
      </c>
      <c r="Z86" s="131">
        <f t="shared" si="111"/>
        <v>1076.5966513789815</v>
      </c>
      <c r="AA86" s="242">
        <f t="shared" si="112"/>
        <v>3515.0966513789817</v>
      </c>
      <c r="AB86" s="131">
        <f t="shared" si="113"/>
        <v>0</v>
      </c>
      <c r="AC86" s="131">
        <f t="shared" si="114"/>
        <v>140.60386605515927</v>
      </c>
      <c r="AD86" s="131">
        <f t="shared" si="115"/>
        <v>0</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160.55836672570746</v>
      </c>
      <c r="CC86" s="131">
        <f t="shared" si="133"/>
        <v>0</v>
      </c>
      <c r="CD86" s="136">
        <f t="shared" si="134"/>
        <v>0</v>
      </c>
      <c r="CE86" s="131">
        <f t="shared" si="182"/>
        <v>0</v>
      </c>
      <c r="CF86" s="136">
        <f t="shared" si="135"/>
        <v>0</v>
      </c>
      <c r="CG86" s="136"/>
      <c r="CH86" s="136">
        <f t="shared" si="181"/>
        <v>0</v>
      </c>
      <c r="CI86" s="131">
        <f t="shared" si="136"/>
        <v>0</v>
      </c>
      <c r="CJ86" s="131"/>
      <c r="CK86" s="136">
        <f t="shared" si="137"/>
        <v>0</v>
      </c>
      <c r="CL86" s="136">
        <f t="shared" si="138"/>
        <v>804.25411383551102</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0</v>
      </c>
      <c r="DC86" s="131">
        <f t="shared" si="105"/>
        <v>0</v>
      </c>
      <c r="DD86" s="131">
        <f t="shared" si="147"/>
        <v>0</v>
      </c>
      <c r="DE86" s="131">
        <f t="shared" si="148"/>
        <v>0</v>
      </c>
      <c r="DF86" s="131">
        <f t="shared" si="149"/>
        <v>0</v>
      </c>
      <c r="DG86" s="131">
        <f t="shared" si="150"/>
        <v>0</v>
      </c>
      <c r="DH86" s="131"/>
      <c r="DI86" s="131"/>
      <c r="DJ86" s="131"/>
      <c r="DK86" s="137">
        <f t="shared" si="180"/>
        <v>4620.5129979953599</v>
      </c>
      <c r="DL86" s="227" t="e">
        <f t="shared" si="151"/>
        <v>#REF!</v>
      </c>
      <c r="DM86" s="227" t="e">
        <f t="shared" si="152"/>
        <v>#REF!</v>
      </c>
      <c r="DN86" s="228" t="e">
        <f t="shared" si="106"/>
        <v>#REF!</v>
      </c>
      <c r="DO86" s="228">
        <f t="shared" si="153"/>
        <v>194.35242757490622</v>
      </c>
      <c r="DP86" s="228" t="e">
        <f t="shared" si="154"/>
        <v>#REF!</v>
      </c>
      <c r="DQ86" s="228" t="e">
        <f t="shared" si="155"/>
        <v>#REF!</v>
      </c>
    </row>
    <row r="87" spans="1:121">
      <c r="A87" s="132">
        <f t="shared" si="107"/>
        <v>77</v>
      </c>
      <c r="B87" s="18">
        <f t="shared" si="156"/>
        <v>77</v>
      </c>
      <c r="C87" s="18">
        <f>IF(A87=0," ",VLOOKUP(B87,'tosafot '!$A$7:$B$234,2,0))</f>
        <v>5.2013999999999996</v>
      </c>
      <c r="D87" s="220">
        <f t="shared" si="157"/>
        <v>228</v>
      </c>
      <c r="E87" s="130">
        <f t="shared" si="158"/>
        <v>12.2026</v>
      </c>
      <c r="F87" s="126">
        <f t="shared" si="159"/>
        <v>22</v>
      </c>
      <c r="G87" s="18" t="str">
        <f t="shared" si="160"/>
        <v>התחבורה</v>
      </c>
      <c r="H87" s="189">
        <f t="shared" si="161"/>
        <v>122</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36.75</v>
      </c>
      <c r="R87" s="128">
        <f t="shared" si="170"/>
        <v>148</v>
      </c>
      <c r="S87" s="130">
        <f t="shared" si="171"/>
        <v>1.4414995494685181</v>
      </c>
      <c r="T87" s="135">
        <f t="shared" si="108"/>
        <v>0</v>
      </c>
      <c r="U87" s="127">
        <f t="shared" si="109"/>
        <v>0</v>
      </c>
      <c r="V87" s="217">
        <v>0</v>
      </c>
      <c r="W87" s="191">
        <v>0</v>
      </c>
      <c r="X87" s="133">
        <v>0</v>
      </c>
      <c r="Y87" s="131">
        <f t="shared" si="110"/>
        <v>2438.5</v>
      </c>
      <c r="Z87" s="131">
        <f t="shared" si="111"/>
        <v>1076.5966513789815</v>
      </c>
      <c r="AA87" s="242">
        <f t="shared" si="112"/>
        <v>3515.0966513789817</v>
      </c>
      <c r="AB87" s="131">
        <f t="shared" si="113"/>
        <v>0</v>
      </c>
      <c r="AC87" s="131">
        <f t="shared" si="114"/>
        <v>140.60386605515927</v>
      </c>
      <c r="AD87" s="131">
        <f t="shared" si="115"/>
        <v>0</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160.55836672570746</v>
      </c>
      <c r="CC87" s="131">
        <f t="shared" si="133"/>
        <v>0</v>
      </c>
      <c r="CD87" s="136">
        <f t="shared" si="134"/>
        <v>0</v>
      </c>
      <c r="CE87" s="131">
        <f t="shared" si="182"/>
        <v>0</v>
      </c>
      <c r="CF87" s="136">
        <f t="shared" si="135"/>
        <v>0</v>
      </c>
      <c r="CG87" s="136"/>
      <c r="CH87" s="136">
        <f t="shared" si="181"/>
        <v>0</v>
      </c>
      <c r="CI87" s="131">
        <f t="shared" si="136"/>
        <v>0</v>
      </c>
      <c r="CJ87" s="131"/>
      <c r="CK87" s="136">
        <f t="shared" si="137"/>
        <v>0</v>
      </c>
      <c r="CL87" s="136">
        <f t="shared" si="138"/>
        <v>804.25411383551102</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0</v>
      </c>
      <c r="DC87" s="131">
        <f t="shared" si="105"/>
        <v>0</v>
      </c>
      <c r="DD87" s="131">
        <f t="shared" si="147"/>
        <v>0</v>
      </c>
      <c r="DE87" s="131">
        <f t="shared" si="148"/>
        <v>0</v>
      </c>
      <c r="DF87" s="131">
        <f t="shared" si="149"/>
        <v>0</v>
      </c>
      <c r="DG87" s="131">
        <f t="shared" si="150"/>
        <v>0</v>
      </c>
      <c r="DH87" s="131"/>
      <c r="DI87" s="131"/>
      <c r="DJ87" s="131"/>
      <c r="DK87" s="137">
        <f t="shared" si="180"/>
        <v>4620.5129979953599</v>
      </c>
      <c r="DL87" s="227" t="e">
        <f t="shared" si="151"/>
        <v>#REF!</v>
      </c>
      <c r="DM87" s="227" t="e">
        <f t="shared" si="152"/>
        <v>#REF!</v>
      </c>
      <c r="DN87" s="228" t="e">
        <f t="shared" si="106"/>
        <v>#REF!</v>
      </c>
      <c r="DO87" s="228">
        <f t="shared" si="153"/>
        <v>194.35242757490622</v>
      </c>
      <c r="DP87" s="228" t="e">
        <f t="shared" si="154"/>
        <v>#REF!</v>
      </c>
      <c r="DQ87" s="228" t="e">
        <f t="shared" si="155"/>
        <v>#REF!</v>
      </c>
    </row>
    <row r="88" spans="1:121">
      <c r="A88" s="132">
        <f t="shared" si="107"/>
        <v>78</v>
      </c>
      <c r="B88" s="18">
        <f t="shared" si="156"/>
        <v>78</v>
      </c>
      <c r="C88" s="18">
        <f>IF(A88=0," ",VLOOKUP(B88,'tosafot '!$A$7:$B$234,2,0))</f>
        <v>6.2013999999999996</v>
      </c>
      <c r="D88" s="220">
        <f t="shared" si="157"/>
        <v>228</v>
      </c>
      <c r="E88" s="130">
        <f t="shared" si="158"/>
        <v>12.2026</v>
      </c>
      <c r="F88" s="126">
        <f t="shared" si="159"/>
        <v>22</v>
      </c>
      <c r="G88" s="18" t="str">
        <f t="shared" si="160"/>
        <v>התחבורה</v>
      </c>
      <c r="H88" s="189">
        <f t="shared" si="161"/>
        <v>122</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36.75</v>
      </c>
      <c r="R88" s="128">
        <f t="shared" si="170"/>
        <v>148</v>
      </c>
      <c r="S88" s="130">
        <f t="shared" si="171"/>
        <v>1.4414995494685181</v>
      </c>
      <c r="T88" s="135">
        <f t="shared" si="108"/>
        <v>0</v>
      </c>
      <c r="U88" s="127">
        <f t="shared" si="109"/>
        <v>0</v>
      </c>
      <c r="V88" s="217">
        <v>0</v>
      </c>
      <c r="W88" s="191">
        <v>0</v>
      </c>
      <c r="X88" s="133">
        <v>0</v>
      </c>
      <c r="Y88" s="131">
        <f t="shared" si="110"/>
        <v>2438.5</v>
      </c>
      <c r="Z88" s="131">
        <f t="shared" si="111"/>
        <v>1076.5966513789815</v>
      </c>
      <c r="AA88" s="242">
        <f t="shared" si="112"/>
        <v>3515.0966513789817</v>
      </c>
      <c r="AB88" s="131">
        <f t="shared" si="113"/>
        <v>0</v>
      </c>
      <c r="AC88" s="131">
        <f t="shared" si="114"/>
        <v>140.60386605515927</v>
      </c>
      <c r="AD88" s="131">
        <f t="shared" si="115"/>
        <v>0</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160.55836672570746</v>
      </c>
      <c r="CC88" s="131">
        <f t="shared" si="133"/>
        <v>0</v>
      </c>
      <c r="CD88" s="136">
        <f t="shared" si="134"/>
        <v>0</v>
      </c>
      <c r="CE88" s="131">
        <f t="shared" si="182"/>
        <v>0</v>
      </c>
      <c r="CF88" s="136">
        <f t="shared" si="135"/>
        <v>0</v>
      </c>
      <c r="CG88" s="136"/>
      <c r="CH88" s="136">
        <f t="shared" si="181"/>
        <v>0</v>
      </c>
      <c r="CI88" s="131">
        <f t="shared" si="136"/>
        <v>0</v>
      </c>
      <c r="CJ88" s="131"/>
      <c r="CK88" s="136">
        <f t="shared" si="137"/>
        <v>0</v>
      </c>
      <c r="CL88" s="136">
        <f t="shared" si="138"/>
        <v>804.25411383551102</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0</v>
      </c>
      <c r="DC88" s="131">
        <f t="shared" si="105"/>
        <v>0</v>
      </c>
      <c r="DD88" s="131">
        <f t="shared" si="147"/>
        <v>0</v>
      </c>
      <c r="DE88" s="131">
        <f t="shared" si="148"/>
        <v>0</v>
      </c>
      <c r="DF88" s="131">
        <f t="shared" si="149"/>
        <v>0</v>
      </c>
      <c r="DG88" s="131">
        <f t="shared" si="150"/>
        <v>0</v>
      </c>
      <c r="DH88" s="131"/>
      <c r="DI88" s="131"/>
      <c r="DJ88" s="131"/>
      <c r="DK88" s="137">
        <f t="shared" si="180"/>
        <v>4620.5129979953599</v>
      </c>
      <c r="DL88" s="227" t="e">
        <f t="shared" si="151"/>
        <v>#REF!</v>
      </c>
      <c r="DM88" s="227" t="e">
        <f t="shared" si="152"/>
        <v>#REF!</v>
      </c>
      <c r="DN88" s="228" t="e">
        <f t="shared" si="106"/>
        <v>#REF!</v>
      </c>
      <c r="DO88" s="228">
        <f t="shared" si="153"/>
        <v>194.35242757490622</v>
      </c>
      <c r="DP88" s="228" t="e">
        <f t="shared" si="154"/>
        <v>#REF!</v>
      </c>
      <c r="DQ88" s="228" t="e">
        <f t="shared" si="155"/>
        <v>#REF!</v>
      </c>
    </row>
    <row r="89" spans="1:121">
      <c r="A89" s="132">
        <f t="shared" si="107"/>
        <v>79</v>
      </c>
      <c r="B89" s="18">
        <f t="shared" si="156"/>
        <v>79</v>
      </c>
      <c r="C89" s="18">
        <f>IF(A89=0," ",VLOOKUP(B89,'tosafot '!$A$7:$B$234,2,0))</f>
        <v>7.2013999999999996</v>
      </c>
      <c r="D89" s="220">
        <f t="shared" si="157"/>
        <v>228</v>
      </c>
      <c r="E89" s="130">
        <f t="shared" si="158"/>
        <v>12.2026</v>
      </c>
      <c r="F89" s="126">
        <f t="shared" si="159"/>
        <v>22</v>
      </c>
      <c r="G89" s="18" t="str">
        <f t="shared" si="160"/>
        <v>התחבורה</v>
      </c>
      <c r="H89" s="189">
        <f t="shared" si="161"/>
        <v>122</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36.75</v>
      </c>
      <c r="R89" s="128">
        <f t="shared" si="170"/>
        <v>148</v>
      </c>
      <c r="S89" s="130">
        <f t="shared" si="171"/>
        <v>1.4414995494685181</v>
      </c>
      <c r="T89" s="135">
        <f t="shared" si="108"/>
        <v>0</v>
      </c>
      <c r="U89" s="127">
        <f t="shared" si="109"/>
        <v>0</v>
      </c>
      <c r="V89" s="217">
        <v>0</v>
      </c>
      <c r="W89" s="191">
        <v>0</v>
      </c>
      <c r="X89" s="133">
        <v>0</v>
      </c>
      <c r="Y89" s="131">
        <f t="shared" si="110"/>
        <v>2438.5</v>
      </c>
      <c r="Z89" s="131">
        <f t="shared" si="111"/>
        <v>1076.5966513789815</v>
      </c>
      <c r="AA89" s="242">
        <f t="shared" si="112"/>
        <v>3515.0966513789817</v>
      </c>
      <c r="AB89" s="131">
        <f t="shared" si="113"/>
        <v>0</v>
      </c>
      <c r="AC89" s="131">
        <f t="shared" si="114"/>
        <v>140.60386605515927</v>
      </c>
      <c r="AD89" s="131">
        <f t="shared" si="115"/>
        <v>0</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160.55836672570746</v>
      </c>
      <c r="CC89" s="131">
        <f t="shared" si="133"/>
        <v>0</v>
      </c>
      <c r="CD89" s="136">
        <f t="shared" si="134"/>
        <v>0</v>
      </c>
      <c r="CE89" s="131">
        <f t="shared" si="182"/>
        <v>0</v>
      </c>
      <c r="CF89" s="136">
        <f t="shared" si="135"/>
        <v>0</v>
      </c>
      <c r="CG89" s="136"/>
      <c r="CH89" s="136">
        <f t="shared" si="181"/>
        <v>0</v>
      </c>
      <c r="CI89" s="131">
        <f t="shared" si="136"/>
        <v>0</v>
      </c>
      <c r="CJ89" s="131"/>
      <c r="CK89" s="136">
        <f t="shared" si="137"/>
        <v>0</v>
      </c>
      <c r="CL89" s="136">
        <f t="shared" si="138"/>
        <v>804.25411383551102</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0</v>
      </c>
      <c r="DC89" s="131">
        <f t="shared" si="105"/>
        <v>0</v>
      </c>
      <c r="DD89" s="131">
        <f t="shared" si="147"/>
        <v>0</v>
      </c>
      <c r="DE89" s="131">
        <f t="shared" si="148"/>
        <v>0</v>
      </c>
      <c r="DF89" s="131">
        <f t="shared" si="149"/>
        <v>0</v>
      </c>
      <c r="DG89" s="131">
        <f t="shared" si="150"/>
        <v>0</v>
      </c>
      <c r="DH89" s="131"/>
      <c r="DI89" s="131"/>
      <c r="DJ89" s="131"/>
      <c r="DK89" s="137">
        <f t="shared" si="180"/>
        <v>4620.5129979953599</v>
      </c>
      <c r="DL89" s="227" t="e">
        <f t="shared" si="151"/>
        <v>#REF!</v>
      </c>
      <c r="DM89" s="227" t="e">
        <f t="shared" si="152"/>
        <v>#REF!</v>
      </c>
      <c r="DN89" s="228" t="e">
        <f t="shared" si="106"/>
        <v>#REF!</v>
      </c>
      <c r="DO89" s="228">
        <f t="shared" si="153"/>
        <v>194.35242757490622</v>
      </c>
      <c r="DP89" s="228" t="e">
        <f t="shared" si="154"/>
        <v>#REF!</v>
      </c>
      <c r="DQ89" s="228" t="e">
        <f t="shared" si="155"/>
        <v>#REF!</v>
      </c>
    </row>
    <row r="90" spans="1:121">
      <c r="A90" s="132">
        <f t="shared" si="107"/>
        <v>80</v>
      </c>
      <c r="B90" s="18">
        <f t="shared" si="156"/>
        <v>80</v>
      </c>
      <c r="C90" s="18">
        <f>IF(A90=0," ",VLOOKUP(B90,'tosafot '!$A$7:$B$234,2,0))</f>
        <v>8.2013999999999996</v>
      </c>
      <c r="D90" s="220">
        <f t="shared" si="157"/>
        <v>228</v>
      </c>
      <c r="E90" s="130">
        <f t="shared" si="158"/>
        <v>12.2026</v>
      </c>
      <c r="F90" s="126">
        <f t="shared" si="159"/>
        <v>22</v>
      </c>
      <c r="G90" s="18" t="str">
        <f t="shared" si="160"/>
        <v>התחבורה</v>
      </c>
      <c r="H90" s="189">
        <f t="shared" si="161"/>
        <v>122</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36.75</v>
      </c>
      <c r="R90" s="128">
        <f t="shared" si="170"/>
        <v>148</v>
      </c>
      <c r="S90" s="130">
        <f t="shared" si="171"/>
        <v>1.4414995494685181</v>
      </c>
      <c r="T90" s="135">
        <f t="shared" si="108"/>
        <v>0</v>
      </c>
      <c r="U90" s="127">
        <f t="shared" si="109"/>
        <v>0</v>
      </c>
      <c r="V90" s="217">
        <v>0</v>
      </c>
      <c r="W90" s="191">
        <v>0</v>
      </c>
      <c r="X90" s="133">
        <v>0</v>
      </c>
      <c r="Y90" s="131">
        <f t="shared" si="110"/>
        <v>2438.5</v>
      </c>
      <c r="Z90" s="131">
        <f t="shared" si="111"/>
        <v>1076.5966513789815</v>
      </c>
      <c r="AA90" s="242">
        <f t="shared" si="112"/>
        <v>3515.0966513789817</v>
      </c>
      <c r="AB90" s="131">
        <f t="shared" si="113"/>
        <v>0</v>
      </c>
      <c r="AC90" s="131">
        <f t="shared" si="114"/>
        <v>140.60386605515927</v>
      </c>
      <c r="AD90" s="131">
        <f t="shared" si="115"/>
        <v>0</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160.55836672570746</v>
      </c>
      <c r="CC90" s="131">
        <f t="shared" si="133"/>
        <v>0</v>
      </c>
      <c r="CD90" s="136">
        <f t="shared" si="134"/>
        <v>0</v>
      </c>
      <c r="CE90" s="131">
        <f t="shared" si="182"/>
        <v>0</v>
      </c>
      <c r="CF90" s="136">
        <f t="shared" si="135"/>
        <v>0</v>
      </c>
      <c r="CG90" s="136"/>
      <c r="CH90" s="136">
        <f t="shared" si="181"/>
        <v>0</v>
      </c>
      <c r="CI90" s="131">
        <f t="shared" si="136"/>
        <v>0</v>
      </c>
      <c r="CJ90" s="131"/>
      <c r="CK90" s="136">
        <f t="shared" si="137"/>
        <v>0</v>
      </c>
      <c r="CL90" s="136">
        <f t="shared" si="138"/>
        <v>804.25411383551102</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0</v>
      </c>
      <c r="DC90" s="131">
        <f t="shared" si="105"/>
        <v>0</v>
      </c>
      <c r="DD90" s="131">
        <f t="shared" si="147"/>
        <v>0</v>
      </c>
      <c r="DE90" s="131">
        <f t="shared" si="148"/>
        <v>0</v>
      </c>
      <c r="DF90" s="131">
        <f t="shared" si="149"/>
        <v>0</v>
      </c>
      <c r="DG90" s="131">
        <f t="shared" si="150"/>
        <v>0</v>
      </c>
      <c r="DH90" s="131"/>
      <c r="DI90" s="131"/>
      <c r="DJ90" s="131"/>
      <c r="DK90" s="137">
        <f t="shared" si="180"/>
        <v>4620.5129979953599</v>
      </c>
      <c r="DL90" s="227" t="e">
        <f t="shared" si="151"/>
        <v>#REF!</v>
      </c>
      <c r="DM90" s="227" t="e">
        <f t="shared" si="152"/>
        <v>#REF!</v>
      </c>
      <c r="DN90" s="228" t="e">
        <f t="shared" si="106"/>
        <v>#REF!</v>
      </c>
      <c r="DO90" s="228">
        <f t="shared" si="153"/>
        <v>194.35242757490622</v>
      </c>
      <c r="DP90" s="228" t="e">
        <f t="shared" si="154"/>
        <v>#REF!</v>
      </c>
      <c r="DQ90" s="228" t="e">
        <f t="shared" si="155"/>
        <v>#REF!</v>
      </c>
    </row>
    <row r="91" spans="1:121">
      <c r="A91" s="132">
        <f t="shared" si="107"/>
        <v>81</v>
      </c>
      <c r="B91" s="18">
        <f t="shared" si="156"/>
        <v>81</v>
      </c>
      <c r="C91" s="18">
        <f>IF(A91=0," ",VLOOKUP(B91,'tosafot '!$A$7:$B$234,2,0))</f>
        <v>9.2013999999999996</v>
      </c>
      <c r="D91" s="220">
        <f t="shared" si="157"/>
        <v>228</v>
      </c>
      <c r="E91" s="130">
        <f t="shared" si="158"/>
        <v>12.2026</v>
      </c>
      <c r="F91" s="126">
        <f t="shared" si="159"/>
        <v>22</v>
      </c>
      <c r="G91" s="18" t="str">
        <f t="shared" si="160"/>
        <v>התחבורה</v>
      </c>
      <c r="H91" s="189">
        <f t="shared" si="161"/>
        <v>122</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36.75</v>
      </c>
      <c r="R91" s="128">
        <f t="shared" si="170"/>
        <v>148</v>
      </c>
      <c r="S91" s="130">
        <f t="shared" si="171"/>
        <v>1.4414995494685181</v>
      </c>
      <c r="T91" s="135">
        <f t="shared" si="108"/>
        <v>0</v>
      </c>
      <c r="U91" s="127">
        <f t="shared" si="109"/>
        <v>0</v>
      </c>
      <c r="V91" s="217">
        <v>0</v>
      </c>
      <c r="W91" s="191">
        <v>0</v>
      </c>
      <c r="X91" s="133">
        <v>0</v>
      </c>
      <c r="Y91" s="131">
        <f t="shared" si="110"/>
        <v>2438.5</v>
      </c>
      <c r="Z91" s="131">
        <f t="shared" si="111"/>
        <v>1076.5966513789815</v>
      </c>
      <c r="AA91" s="242">
        <f t="shared" si="112"/>
        <v>3515.0966513789817</v>
      </c>
      <c r="AB91" s="131">
        <f t="shared" si="113"/>
        <v>0</v>
      </c>
      <c r="AC91" s="131">
        <f t="shared" si="114"/>
        <v>140.60386605515927</v>
      </c>
      <c r="AD91" s="131">
        <f t="shared" si="115"/>
        <v>0</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160.55836672570746</v>
      </c>
      <c r="CC91" s="131">
        <f t="shared" si="133"/>
        <v>0</v>
      </c>
      <c r="CD91" s="136">
        <f t="shared" si="134"/>
        <v>0</v>
      </c>
      <c r="CE91" s="131">
        <f t="shared" si="182"/>
        <v>0</v>
      </c>
      <c r="CF91" s="136">
        <f t="shared" si="135"/>
        <v>0</v>
      </c>
      <c r="CG91" s="136"/>
      <c r="CH91" s="136">
        <f t="shared" si="181"/>
        <v>0</v>
      </c>
      <c r="CI91" s="131">
        <f t="shared" si="136"/>
        <v>0</v>
      </c>
      <c r="CJ91" s="131"/>
      <c r="CK91" s="136">
        <f t="shared" si="137"/>
        <v>0</v>
      </c>
      <c r="CL91" s="136">
        <f t="shared" si="138"/>
        <v>804.25411383551102</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0</v>
      </c>
      <c r="DC91" s="131">
        <f t="shared" si="105"/>
        <v>0</v>
      </c>
      <c r="DD91" s="131">
        <f t="shared" si="147"/>
        <v>0</v>
      </c>
      <c r="DE91" s="131">
        <f t="shared" si="148"/>
        <v>0</v>
      </c>
      <c r="DF91" s="131">
        <f t="shared" si="149"/>
        <v>0</v>
      </c>
      <c r="DG91" s="131">
        <f t="shared" si="150"/>
        <v>0</v>
      </c>
      <c r="DH91" s="131"/>
      <c r="DI91" s="131"/>
      <c r="DJ91" s="131"/>
      <c r="DK91" s="137">
        <f t="shared" si="180"/>
        <v>4620.5129979953599</v>
      </c>
      <c r="DL91" s="227" t="e">
        <f t="shared" si="151"/>
        <v>#REF!</v>
      </c>
      <c r="DM91" s="227" t="e">
        <f t="shared" si="152"/>
        <v>#REF!</v>
      </c>
      <c r="DN91" s="228" t="e">
        <f t="shared" si="106"/>
        <v>#REF!</v>
      </c>
      <c r="DO91" s="228">
        <f t="shared" si="153"/>
        <v>194.35242757490622</v>
      </c>
      <c r="DP91" s="228" t="e">
        <f t="shared" si="154"/>
        <v>#REF!</v>
      </c>
      <c r="DQ91" s="228" t="e">
        <f t="shared" si="155"/>
        <v>#REF!</v>
      </c>
    </row>
    <row r="92" spans="1:121">
      <c r="A92" s="132">
        <f t="shared" si="107"/>
        <v>82</v>
      </c>
      <c r="B92" s="18">
        <f t="shared" si="156"/>
        <v>82</v>
      </c>
      <c r="C92" s="18">
        <f>IF(A92=0," ",VLOOKUP(B92,'tosafot '!$A$7:$B$234,2,0))</f>
        <v>10.2014</v>
      </c>
      <c r="D92" s="220">
        <f t="shared" si="157"/>
        <v>228</v>
      </c>
      <c r="E92" s="130">
        <f t="shared" si="158"/>
        <v>12.2026</v>
      </c>
      <c r="F92" s="126">
        <f t="shared" si="159"/>
        <v>22</v>
      </c>
      <c r="G92" s="18" t="str">
        <f t="shared" si="160"/>
        <v>התחבורה</v>
      </c>
      <c r="H92" s="189">
        <f t="shared" si="161"/>
        <v>122</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36.75</v>
      </c>
      <c r="R92" s="128">
        <f t="shared" si="170"/>
        <v>148</v>
      </c>
      <c r="S92" s="130">
        <f t="shared" si="171"/>
        <v>1.4414995494685181</v>
      </c>
      <c r="T92" s="135">
        <f t="shared" si="108"/>
        <v>0</v>
      </c>
      <c r="U92" s="127">
        <f t="shared" si="109"/>
        <v>0</v>
      </c>
      <c r="V92" s="217">
        <v>0</v>
      </c>
      <c r="W92" s="191">
        <v>0</v>
      </c>
      <c r="X92" s="133">
        <v>0</v>
      </c>
      <c r="Y92" s="131">
        <f t="shared" si="110"/>
        <v>2438.5</v>
      </c>
      <c r="Z92" s="131">
        <f t="shared" si="111"/>
        <v>1076.5966513789815</v>
      </c>
      <c r="AA92" s="242">
        <f t="shared" si="112"/>
        <v>3515.0966513789817</v>
      </c>
      <c r="AB92" s="131">
        <f t="shared" si="113"/>
        <v>0</v>
      </c>
      <c r="AC92" s="131">
        <f t="shared" si="114"/>
        <v>140.60386605515927</v>
      </c>
      <c r="AD92" s="131">
        <f t="shared" si="115"/>
        <v>0</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160.55836672570746</v>
      </c>
      <c r="CC92" s="131">
        <f t="shared" si="133"/>
        <v>0</v>
      </c>
      <c r="CD92" s="136">
        <f t="shared" si="134"/>
        <v>0</v>
      </c>
      <c r="CE92" s="131">
        <f t="shared" si="182"/>
        <v>0</v>
      </c>
      <c r="CF92" s="136">
        <f t="shared" si="135"/>
        <v>0</v>
      </c>
      <c r="CG92" s="136"/>
      <c r="CH92" s="136">
        <f t="shared" si="181"/>
        <v>0</v>
      </c>
      <c r="CI92" s="131">
        <f t="shared" si="136"/>
        <v>0</v>
      </c>
      <c r="CJ92" s="131"/>
      <c r="CK92" s="136">
        <f t="shared" si="137"/>
        <v>0</v>
      </c>
      <c r="CL92" s="136">
        <f t="shared" si="138"/>
        <v>804.25411383551102</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0</v>
      </c>
      <c r="DC92" s="131">
        <f t="shared" si="105"/>
        <v>0</v>
      </c>
      <c r="DD92" s="131">
        <f t="shared" si="147"/>
        <v>0</v>
      </c>
      <c r="DE92" s="131">
        <f t="shared" si="148"/>
        <v>0</v>
      </c>
      <c r="DF92" s="131">
        <f t="shared" si="149"/>
        <v>0</v>
      </c>
      <c r="DG92" s="131">
        <f t="shared" si="150"/>
        <v>0</v>
      </c>
      <c r="DH92" s="131"/>
      <c r="DI92" s="131"/>
      <c r="DJ92" s="131"/>
      <c r="DK92" s="137">
        <f t="shared" si="180"/>
        <v>4620.5129979953599</v>
      </c>
      <c r="DL92" s="227" t="e">
        <f t="shared" si="151"/>
        <v>#REF!</v>
      </c>
      <c r="DM92" s="227" t="e">
        <f t="shared" si="152"/>
        <v>#REF!</v>
      </c>
      <c r="DN92" s="228" t="e">
        <f t="shared" si="106"/>
        <v>#REF!</v>
      </c>
      <c r="DO92" s="228">
        <f t="shared" si="153"/>
        <v>194.35242757490622</v>
      </c>
      <c r="DP92" s="228" t="e">
        <f t="shared" si="154"/>
        <v>#REF!</v>
      </c>
      <c r="DQ92" s="228" t="e">
        <f t="shared" si="155"/>
        <v>#REF!</v>
      </c>
    </row>
    <row r="93" spans="1:121">
      <c r="A93" s="132">
        <f t="shared" si="107"/>
        <v>83</v>
      </c>
      <c r="B93" s="18">
        <f t="shared" si="156"/>
        <v>83</v>
      </c>
      <c r="C93" s="18">
        <f>IF(A93=0," ",VLOOKUP(B93,'tosafot '!$A$7:$B$234,2,0))</f>
        <v>11.2014</v>
      </c>
      <c r="D93" s="220">
        <f t="shared" si="157"/>
        <v>228</v>
      </c>
      <c r="E93" s="130">
        <f t="shared" si="158"/>
        <v>12.2026</v>
      </c>
      <c r="F93" s="126">
        <f t="shared" si="159"/>
        <v>22</v>
      </c>
      <c r="G93" s="18" t="str">
        <f t="shared" si="160"/>
        <v>התחבורה</v>
      </c>
      <c r="H93" s="189">
        <f t="shared" si="161"/>
        <v>122</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36.75</v>
      </c>
      <c r="R93" s="128">
        <f t="shared" si="170"/>
        <v>148</v>
      </c>
      <c r="S93" s="130">
        <f t="shared" si="171"/>
        <v>1.4414995494685181</v>
      </c>
      <c r="T93" s="135">
        <f t="shared" si="108"/>
        <v>0</v>
      </c>
      <c r="U93" s="127">
        <f t="shared" si="109"/>
        <v>0</v>
      </c>
      <c r="V93" s="217">
        <v>0</v>
      </c>
      <c r="W93" s="191">
        <v>0</v>
      </c>
      <c r="X93" s="133">
        <v>0</v>
      </c>
      <c r="Y93" s="131">
        <f t="shared" si="110"/>
        <v>2438.5</v>
      </c>
      <c r="Z93" s="131">
        <f t="shared" si="111"/>
        <v>1076.5966513789815</v>
      </c>
      <c r="AA93" s="242">
        <f t="shared" si="112"/>
        <v>3515.0966513789817</v>
      </c>
      <c r="AB93" s="131">
        <f t="shared" si="113"/>
        <v>0</v>
      </c>
      <c r="AC93" s="131">
        <f t="shared" si="114"/>
        <v>140.60386605515927</v>
      </c>
      <c r="AD93" s="131">
        <f t="shared" si="115"/>
        <v>0</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160.55836672570746</v>
      </c>
      <c r="CC93" s="131">
        <f t="shared" si="133"/>
        <v>0</v>
      </c>
      <c r="CD93" s="136">
        <f t="shared" si="134"/>
        <v>0</v>
      </c>
      <c r="CE93" s="131">
        <f t="shared" si="182"/>
        <v>0</v>
      </c>
      <c r="CF93" s="136">
        <f t="shared" si="135"/>
        <v>0</v>
      </c>
      <c r="CG93" s="136"/>
      <c r="CH93" s="136">
        <f t="shared" si="181"/>
        <v>0</v>
      </c>
      <c r="CI93" s="131">
        <f t="shared" si="136"/>
        <v>0</v>
      </c>
      <c r="CJ93" s="131"/>
      <c r="CK93" s="136">
        <f t="shared" si="137"/>
        <v>0</v>
      </c>
      <c r="CL93" s="136">
        <f t="shared" si="138"/>
        <v>804.25411383551102</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0</v>
      </c>
      <c r="DC93" s="131">
        <f t="shared" si="105"/>
        <v>0</v>
      </c>
      <c r="DD93" s="131">
        <f t="shared" si="147"/>
        <v>0</v>
      </c>
      <c r="DE93" s="131">
        <f t="shared" si="148"/>
        <v>0</v>
      </c>
      <c r="DF93" s="131">
        <f t="shared" si="149"/>
        <v>0</v>
      </c>
      <c r="DG93" s="131">
        <f t="shared" si="150"/>
        <v>0</v>
      </c>
      <c r="DH93" s="131"/>
      <c r="DI93" s="131"/>
      <c r="DJ93" s="131"/>
      <c r="DK93" s="137">
        <f t="shared" si="180"/>
        <v>4620.5129979953599</v>
      </c>
      <c r="DL93" s="227" t="e">
        <f t="shared" si="151"/>
        <v>#REF!</v>
      </c>
      <c r="DM93" s="227" t="e">
        <f t="shared" si="152"/>
        <v>#REF!</v>
      </c>
      <c r="DN93" s="228" t="e">
        <f t="shared" si="106"/>
        <v>#REF!</v>
      </c>
      <c r="DO93" s="228">
        <f t="shared" si="153"/>
        <v>194.35242757490622</v>
      </c>
      <c r="DP93" s="228" t="e">
        <f t="shared" si="154"/>
        <v>#REF!</v>
      </c>
      <c r="DQ93" s="228" t="e">
        <f t="shared" si="155"/>
        <v>#REF!</v>
      </c>
    </row>
    <row r="94" spans="1:121">
      <c r="A94" s="132">
        <f t="shared" si="107"/>
        <v>84</v>
      </c>
      <c r="B94" s="18">
        <f t="shared" si="156"/>
        <v>84</v>
      </c>
      <c r="C94" s="18">
        <f>IF(A94=0," ",VLOOKUP(B94,'tosafot '!$A$7:$B$234,2,0))</f>
        <v>12.2014</v>
      </c>
      <c r="D94" s="220">
        <f t="shared" si="157"/>
        <v>228</v>
      </c>
      <c r="E94" s="130">
        <f t="shared" si="158"/>
        <v>12.2026</v>
      </c>
      <c r="F94" s="126">
        <f t="shared" si="159"/>
        <v>22</v>
      </c>
      <c r="G94" s="18" t="str">
        <f t="shared" si="160"/>
        <v>התחבורה</v>
      </c>
      <c r="H94" s="189">
        <f t="shared" si="161"/>
        <v>122</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36.75</v>
      </c>
      <c r="R94" s="128">
        <f t="shared" si="170"/>
        <v>148</v>
      </c>
      <c r="S94" s="130">
        <f t="shared" si="171"/>
        <v>1.4414995494685181</v>
      </c>
      <c r="T94" s="135">
        <f t="shared" si="108"/>
        <v>0</v>
      </c>
      <c r="U94" s="127">
        <f t="shared" si="109"/>
        <v>0</v>
      </c>
      <c r="V94" s="217">
        <v>0</v>
      </c>
      <c r="W94" s="191">
        <v>0</v>
      </c>
      <c r="X94" s="133">
        <v>0</v>
      </c>
      <c r="Y94" s="131">
        <f t="shared" si="110"/>
        <v>2438.5</v>
      </c>
      <c r="Z94" s="131">
        <f t="shared" si="111"/>
        <v>1076.5966513789815</v>
      </c>
      <c r="AA94" s="242">
        <f t="shared" si="112"/>
        <v>3515.0966513789817</v>
      </c>
      <c r="AB94" s="131">
        <f t="shared" si="113"/>
        <v>0</v>
      </c>
      <c r="AC94" s="131">
        <f t="shared" si="114"/>
        <v>140.60386605515927</v>
      </c>
      <c r="AD94" s="131">
        <f t="shared" si="115"/>
        <v>0</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160.55836672570746</v>
      </c>
      <c r="CC94" s="131">
        <f t="shared" si="133"/>
        <v>0</v>
      </c>
      <c r="CD94" s="136">
        <f t="shared" si="134"/>
        <v>0</v>
      </c>
      <c r="CE94" s="131">
        <f t="shared" si="182"/>
        <v>0</v>
      </c>
      <c r="CF94" s="136">
        <f t="shared" si="135"/>
        <v>0</v>
      </c>
      <c r="CG94" s="136"/>
      <c r="CH94" s="136">
        <f t="shared" si="181"/>
        <v>0</v>
      </c>
      <c r="CI94" s="131">
        <f t="shared" si="136"/>
        <v>0</v>
      </c>
      <c r="CJ94" s="131"/>
      <c r="CK94" s="136">
        <f t="shared" si="137"/>
        <v>0</v>
      </c>
      <c r="CL94" s="136">
        <f t="shared" si="138"/>
        <v>804.25411383551102</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0</v>
      </c>
      <c r="DC94" s="131">
        <f t="shared" si="105"/>
        <v>0</v>
      </c>
      <c r="DD94" s="131">
        <f t="shared" si="147"/>
        <v>0</v>
      </c>
      <c r="DE94" s="131">
        <f t="shared" si="148"/>
        <v>0</v>
      </c>
      <c r="DF94" s="131">
        <f t="shared" si="149"/>
        <v>0</v>
      </c>
      <c r="DG94" s="131">
        <f t="shared" si="150"/>
        <v>0</v>
      </c>
      <c r="DH94" s="131"/>
      <c r="DI94" s="131"/>
      <c r="DJ94" s="131"/>
      <c r="DK94" s="137">
        <f t="shared" si="180"/>
        <v>4620.5129979953599</v>
      </c>
      <c r="DL94" s="227" t="e">
        <f t="shared" si="151"/>
        <v>#REF!</v>
      </c>
      <c r="DM94" s="227" t="e">
        <f t="shared" si="152"/>
        <v>#REF!</v>
      </c>
      <c r="DN94" s="228" t="e">
        <f t="shared" si="106"/>
        <v>#REF!</v>
      </c>
      <c r="DO94" s="228">
        <f t="shared" si="153"/>
        <v>194.35242757490622</v>
      </c>
      <c r="DP94" s="228" t="e">
        <f t="shared" si="154"/>
        <v>#REF!</v>
      </c>
      <c r="DQ94" s="228" t="e">
        <f t="shared" si="155"/>
        <v>#REF!</v>
      </c>
    </row>
    <row r="95" spans="1:121">
      <c r="A95" s="132">
        <f t="shared" si="107"/>
        <v>85</v>
      </c>
      <c r="B95" s="18">
        <f t="shared" si="156"/>
        <v>85</v>
      </c>
      <c r="C95" s="18">
        <f>IF(A95=0," ",VLOOKUP(B95,'tosafot '!$A$7:$B$234,2,0))</f>
        <v>1.2015</v>
      </c>
      <c r="D95" s="220">
        <f t="shared" si="157"/>
        <v>228</v>
      </c>
      <c r="E95" s="130">
        <f t="shared" si="158"/>
        <v>12.2026</v>
      </c>
      <c r="F95" s="126">
        <f t="shared" si="159"/>
        <v>22</v>
      </c>
      <c r="G95" s="18" t="str">
        <f t="shared" si="160"/>
        <v>התחבורה</v>
      </c>
      <c r="H95" s="189">
        <f t="shared" si="161"/>
        <v>122</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36.75</v>
      </c>
      <c r="R95" s="128">
        <f t="shared" si="170"/>
        <v>148</v>
      </c>
      <c r="S95" s="130">
        <f t="shared" si="171"/>
        <v>1.4414995494685181</v>
      </c>
      <c r="T95" s="135">
        <f t="shared" si="108"/>
        <v>0</v>
      </c>
      <c r="U95" s="127">
        <f t="shared" si="109"/>
        <v>0</v>
      </c>
      <c r="V95" s="217">
        <v>0</v>
      </c>
      <c r="W95" s="191">
        <v>0</v>
      </c>
      <c r="X95" s="133">
        <v>0</v>
      </c>
      <c r="Y95" s="131">
        <f t="shared" si="110"/>
        <v>2438.5</v>
      </c>
      <c r="Z95" s="131">
        <f t="shared" si="111"/>
        <v>1076.5966513789815</v>
      </c>
      <c r="AA95" s="242">
        <f t="shared" si="112"/>
        <v>3515.0966513789817</v>
      </c>
      <c r="AB95" s="131">
        <f t="shared" si="113"/>
        <v>0</v>
      </c>
      <c r="AC95" s="131">
        <f t="shared" si="114"/>
        <v>140.60386605515927</v>
      </c>
      <c r="AD95" s="131">
        <f t="shared" si="115"/>
        <v>0</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160.55836672570746</v>
      </c>
      <c r="CC95" s="131">
        <f t="shared" si="133"/>
        <v>0</v>
      </c>
      <c r="CD95" s="136">
        <f t="shared" si="134"/>
        <v>0</v>
      </c>
      <c r="CE95" s="131">
        <f t="shared" si="182"/>
        <v>0</v>
      </c>
      <c r="CF95" s="136">
        <f t="shared" si="135"/>
        <v>0</v>
      </c>
      <c r="CG95" s="136"/>
      <c r="CH95" s="136">
        <f t="shared" si="181"/>
        <v>0</v>
      </c>
      <c r="CI95" s="131">
        <f t="shared" si="136"/>
        <v>0</v>
      </c>
      <c r="CJ95" s="131"/>
      <c r="CK95" s="136">
        <f t="shared" si="137"/>
        <v>0</v>
      </c>
      <c r="CL95" s="136">
        <f t="shared" si="138"/>
        <v>804.25411383551102</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0</v>
      </c>
      <c r="DC95" s="131">
        <f t="shared" si="105"/>
        <v>0</v>
      </c>
      <c r="DD95" s="131">
        <f t="shared" si="147"/>
        <v>0</v>
      </c>
      <c r="DE95" s="131">
        <f t="shared" si="148"/>
        <v>0</v>
      </c>
      <c r="DF95" s="131">
        <f t="shared" si="149"/>
        <v>0</v>
      </c>
      <c r="DG95" s="131">
        <f t="shared" si="150"/>
        <v>0</v>
      </c>
      <c r="DH95" s="131"/>
      <c r="DI95" s="131"/>
      <c r="DJ95" s="131"/>
      <c r="DK95" s="137">
        <f t="shared" si="180"/>
        <v>4620.5129979953599</v>
      </c>
      <c r="DL95" s="227" t="e">
        <f t="shared" si="151"/>
        <v>#REF!</v>
      </c>
      <c r="DM95" s="227" t="e">
        <f t="shared" si="152"/>
        <v>#REF!</v>
      </c>
      <c r="DN95" s="228" t="e">
        <f t="shared" si="106"/>
        <v>#REF!</v>
      </c>
      <c r="DO95" s="228">
        <f t="shared" si="153"/>
        <v>194.35242757490622</v>
      </c>
      <c r="DP95" s="228" t="e">
        <f t="shared" si="154"/>
        <v>#REF!</v>
      </c>
      <c r="DQ95" s="228" t="e">
        <f t="shared" si="155"/>
        <v>#REF!</v>
      </c>
    </row>
    <row r="96" spans="1:121">
      <c r="A96" s="132">
        <f t="shared" si="107"/>
        <v>86</v>
      </c>
      <c r="B96" s="18">
        <f t="shared" si="156"/>
        <v>86</v>
      </c>
      <c r="C96" s="18">
        <f>IF(A96=0," ",VLOOKUP(B96,'tosafot '!$A$7:$B$234,2,0))</f>
        <v>2.2014999999999998</v>
      </c>
      <c r="D96" s="220">
        <f t="shared" si="157"/>
        <v>228</v>
      </c>
      <c r="E96" s="130">
        <f t="shared" si="158"/>
        <v>12.2026</v>
      </c>
      <c r="F96" s="126">
        <f t="shared" si="159"/>
        <v>22</v>
      </c>
      <c r="G96" s="18" t="str">
        <f t="shared" si="160"/>
        <v>התחבורה</v>
      </c>
      <c r="H96" s="189">
        <f t="shared" si="161"/>
        <v>122</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36.75</v>
      </c>
      <c r="R96" s="128">
        <f t="shared" si="170"/>
        <v>148</v>
      </c>
      <c r="S96" s="130">
        <f t="shared" si="171"/>
        <v>1.4414995494685181</v>
      </c>
      <c r="T96" s="135">
        <f t="shared" si="108"/>
        <v>0</v>
      </c>
      <c r="U96" s="127">
        <f t="shared" si="109"/>
        <v>0</v>
      </c>
      <c r="V96" s="217">
        <v>0</v>
      </c>
      <c r="W96" s="191">
        <v>0</v>
      </c>
      <c r="X96" s="133">
        <v>0</v>
      </c>
      <c r="Y96" s="131">
        <f t="shared" si="110"/>
        <v>2438.5</v>
      </c>
      <c r="Z96" s="131">
        <f t="shared" si="111"/>
        <v>1076.5966513789815</v>
      </c>
      <c r="AA96" s="242">
        <f t="shared" si="112"/>
        <v>3515.0966513789817</v>
      </c>
      <c r="AB96" s="131">
        <f t="shared" si="113"/>
        <v>0</v>
      </c>
      <c r="AC96" s="131">
        <f t="shared" si="114"/>
        <v>140.60386605515927</v>
      </c>
      <c r="AD96" s="131">
        <f t="shared" si="115"/>
        <v>0</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160.55836672570746</v>
      </c>
      <c r="CC96" s="131">
        <f t="shared" si="133"/>
        <v>0</v>
      </c>
      <c r="CD96" s="136">
        <f t="shared" si="134"/>
        <v>0</v>
      </c>
      <c r="CE96" s="131">
        <f t="shared" si="182"/>
        <v>0</v>
      </c>
      <c r="CF96" s="136">
        <f t="shared" si="135"/>
        <v>0</v>
      </c>
      <c r="CG96" s="136"/>
      <c r="CH96" s="136">
        <f t="shared" si="181"/>
        <v>0</v>
      </c>
      <c r="CI96" s="131">
        <f t="shared" si="136"/>
        <v>0</v>
      </c>
      <c r="CJ96" s="131"/>
      <c r="CK96" s="136">
        <f t="shared" si="137"/>
        <v>0</v>
      </c>
      <c r="CL96" s="136">
        <f t="shared" si="138"/>
        <v>804.25411383551102</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0</v>
      </c>
      <c r="DC96" s="131">
        <f t="shared" si="105"/>
        <v>0</v>
      </c>
      <c r="DD96" s="131">
        <f t="shared" si="147"/>
        <v>0</v>
      </c>
      <c r="DE96" s="131">
        <f t="shared" si="148"/>
        <v>0</v>
      </c>
      <c r="DF96" s="131">
        <f t="shared" si="149"/>
        <v>0</v>
      </c>
      <c r="DG96" s="131">
        <f t="shared" si="150"/>
        <v>0</v>
      </c>
      <c r="DH96" s="131"/>
      <c r="DI96" s="131"/>
      <c r="DJ96" s="131"/>
      <c r="DK96" s="137">
        <f t="shared" si="180"/>
        <v>4620.5129979953599</v>
      </c>
      <c r="DL96" s="227" t="e">
        <f t="shared" si="151"/>
        <v>#REF!</v>
      </c>
      <c r="DM96" s="227" t="e">
        <f t="shared" si="152"/>
        <v>#REF!</v>
      </c>
      <c r="DN96" s="228" t="e">
        <f t="shared" si="106"/>
        <v>#REF!</v>
      </c>
      <c r="DO96" s="228">
        <f t="shared" si="153"/>
        <v>194.35242757490622</v>
      </c>
      <c r="DP96" s="228" t="e">
        <f t="shared" si="154"/>
        <v>#REF!</v>
      </c>
      <c r="DQ96" s="228" t="e">
        <f t="shared" si="155"/>
        <v>#REF!</v>
      </c>
    </row>
    <row r="97" spans="1:121">
      <c r="A97" s="132">
        <f t="shared" si="107"/>
        <v>87</v>
      </c>
      <c r="B97" s="18">
        <f t="shared" si="156"/>
        <v>87</v>
      </c>
      <c r="C97" s="18">
        <f>IF(A97=0," ",VLOOKUP(B97,'tosafot '!$A$7:$B$234,2,0))</f>
        <v>3.2014999999999998</v>
      </c>
      <c r="D97" s="220">
        <f t="shared" si="157"/>
        <v>228</v>
      </c>
      <c r="E97" s="130">
        <f t="shared" si="158"/>
        <v>12.2026</v>
      </c>
      <c r="F97" s="126">
        <f t="shared" si="159"/>
        <v>22</v>
      </c>
      <c r="G97" s="18" t="str">
        <f t="shared" si="160"/>
        <v>התחבורה</v>
      </c>
      <c r="H97" s="189">
        <f t="shared" si="161"/>
        <v>122</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36.75</v>
      </c>
      <c r="R97" s="128">
        <f t="shared" si="170"/>
        <v>148</v>
      </c>
      <c r="S97" s="130">
        <f t="shared" si="171"/>
        <v>1.4414995494685181</v>
      </c>
      <c r="T97" s="135">
        <f t="shared" si="108"/>
        <v>0</v>
      </c>
      <c r="U97" s="127">
        <f t="shared" si="109"/>
        <v>0</v>
      </c>
      <c r="V97" s="217">
        <v>0</v>
      </c>
      <c r="W97" s="191">
        <v>0</v>
      </c>
      <c r="X97" s="133">
        <v>0</v>
      </c>
      <c r="Y97" s="131">
        <f t="shared" si="110"/>
        <v>2438.5</v>
      </c>
      <c r="Z97" s="131">
        <f t="shared" si="111"/>
        <v>1076.5966513789815</v>
      </c>
      <c r="AA97" s="242">
        <f t="shared" si="112"/>
        <v>3515.0966513789817</v>
      </c>
      <c r="AB97" s="131">
        <f t="shared" si="113"/>
        <v>0</v>
      </c>
      <c r="AC97" s="131">
        <f t="shared" si="114"/>
        <v>140.60386605515927</v>
      </c>
      <c r="AD97" s="131">
        <f t="shared" si="115"/>
        <v>0</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160.55836672570746</v>
      </c>
      <c r="CC97" s="131">
        <f t="shared" si="133"/>
        <v>0</v>
      </c>
      <c r="CD97" s="136">
        <f t="shared" si="134"/>
        <v>0</v>
      </c>
      <c r="CE97" s="131">
        <f t="shared" si="182"/>
        <v>0</v>
      </c>
      <c r="CF97" s="136">
        <f t="shared" si="135"/>
        <v>0</v>
      </c>
      <c r="CG97" s="136"/>
      <c r="CH97" s="136">
        <f t="shared" si="181"/>
        <v>0</v>
      </c>
      <c r="CI97" s="131">
        <f t="shared" si="136"/>
        <v>0</v>
      </c>
      <c r="CJ97" s="131"/>
      <c r="CK97" s="136">
        <f t="shared" si="137"/>
        <v>0</v>
      </c>
      <c r="CL97" s="136">
        <f t="shared" si="138"/>
        <v>804.25411383551102</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0</v>
      </c>
      <c r="DC97" s="131">
        <f t="shared" si="105"/>
        <v>0</v>
      </c>
      <c r="DD97" s="131">
        <f t="shared" si="147"/>
        <v>0</v>
      </c>
      <c r="DE97" s="131">
        <f t="shared" si="148"/>
        <v>0</v>
      </c>
      <c r="DF97" s="131">
        <f t="shared" si="149"/>
        <v>0</v>
      </c>
      <c r="DG97" s="131">
        <f t="shared" si="150"/>
        <v>0</v>
      </c>
      <c r="DH97" s="131"/>
      <c r="DI97" s="131"/>
      <c r="DJ97" s="131"/>
      <c r="DK97" s="137">
        <f t="shared" si="180"/>
        <v>4620.5129979953599</v>
      </c>
      <c r="DL97" s="227" t="e">
        <f t="shared" si="151"/>
        <v>#REF!</v>
      </c>
      <c r="DM97" s="227" t="e">
        <f t="shared" si="152"/>
        <v>#REF!</v>
      </c>
      <c r="DN97" s="228" t="e">
        <f t="shared" si="106"/>
        <v>#REF!</v>
      </c>
      <c r="DO97" s="228">
        <f t="shared" si="153"/>
        <v>194.35242757490622</v>
      </c>
      <c r="DP97" s="228" t="e">
        <f t="shared" si="154"/>
        <v>#REF!</v>
      </c>
      <c r="DQ97" s="228" t="e">
        <f t="shared" si="155"/>
        <v>#REF!</v>
      </c>
    </row>
    <row r="98" spans="1:121">
      <c r="A98" s="132">
        <f t="shared" si="107"/>
        <v>88</v>
      </c>
      <c r="B98" s="18">
        <f t="shared" si="156"/>
        <v>88</v>
      </c>
      <c r="C98" s="18">
        <f>IF(A98=0," ",VLOOKUP(B98,'tosafot '!$A$7:$B$234,2,0))</f>
        <v>4.2015000000000002</v>
      </c>
      <c r="D98" s="220">
        <f t="shared" si="157"/>
        <v>228</v>
      </c>
      <c r="E98" s="130">
        <f t="shared" si="158"/>
        <v>12.2026</v>
      </c>
      <c r="F98" s="126">
        <f t="shared" si="159"/>
        <v>22</v>
      </c>
      <c r="G98" s="18" t="str">
        <f t="shared" si="160"/>
        <v>התחבורה</v>
      </c>
      <c r="H98" s="189">
        <f t="shared" si="161"/>
        <v>122</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36.75</v>
      </c>
      <c r="R98" s="128">
        <f t="shared" si="170"/>
        <v>148</v>
      </c>
      <c r="S98" s="130">
        <f t="shared" si="171"/>
        <v>1.4414995494685181</v>
      </c>
      <c r="T98" s="135">
        <f t="shared" si="108"/>
        <v>0</v>
      </c>
      <c r="U98" s="127">
        <f t="shared" si="109"/>
        <v>0</v>
      </c>
      <c r="V98" s="217">
        <v>0</v>
      </c>
      <c r="W98" s="191">
        <v>0</v>
      </c>
      <c r="X98" s="133">
        <v>0</v>
      </c>
      <c r="Y98" s="131">
        <f t="shared" si="110"/>
        <v>2438.5</v>
      </c>
      <c r="Z98" s="131">
        <f t="shared" si="111"/>
        <v>1076.5966513789815</v>
      </c>
      <c r="AA98" s="242">
        <f t="shared" si="112"/>
        <v>3515.0966513789817</v>
      </c>
      <c r="AB98" s="131">
        <f t="shared" si="113"/>
        <v>0</v>
      </c>
      <c r="AC98" s="131">
        <f t="shared" si="114"/>
        <v>140.60386605515927</v>
      </c>
      <c r="AD98" s="131">
        <f t="shared" si="115"/>
        <v>0</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160.55836672570746</v>
      </c>
      <c r="CC98" s="131">
        <f t="shared" si="133"/>
        <v>0</v>
      </c>
      <c r="CD98" s="136">
        <f t="shared" si="134"/>
        <v>0</v>
      </c>
      <c r="CE98" s="131">
        <f t="shared" si="182"/>
        <v>0</v>
      </c>
      <c r="CF98" s="136">
        <f t="shared" si="135"/>
        <v>0</v>
      </c>
      <c r="CG98" s="136"/>
      <c r="CH98" s="136">
        <f t="shared" si="181"/>
        <v>0</v>
      </c>
      <c r="CI98" s="131">
        <f t="shared" si="136"/>
        <v>0</v>
      </c>
      <c r="CJ98" s="131"/>
      <c r="CK98" s="136">
        <f t="shared" si="137"/>
        <v>0</v>
      </c>
      <c r="CL98" s="136">
        <f t="shared" si="138"/>
        <v>804.25411383551102</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0</v>
      </c>
      <c r="DC98" s="131">
        <f t="shared" si="105"/>
        <v>0</v>
      </c>
      <c r="DD98" s="131">
        <f t="shared" si="147"/>
        <v>0</v>
      </c>
      <c r="DE98" s="131">
        <f t="shared" si="148"/>
        <v>0</v>
      </c>
      <c r="DF98" s="131">
        <f t="shared" si="149"/>
        <v>0</v>
      </c>
      <c r="DG98" s="131">
        <f t="shared" si="150"/>
        <v>0</v>
      </c>
      <c r="DH98" s="131"/>
      <c r="DI98" s="131"/>
      <c r="DJ98" s="131"/>
      <c r="DK98" s="137">
        <f t="shared" si="180"/>
        <v>4620.5129979953599</v>
      </c>
      <c r="DL98" s="227" t="e">
        <f t="shared" si="151"/>
        <v>#REF!</v>
      </c>
      <c r="DM98" s="227" t="e">
        <f t="shared" si="152"/>
        <v>#REF!</v>
      </c>
      <c r="DN98" s="228" t="e">
        <f t="shared" si="106"/>
        <v>#REF!</v>
      </c>
      <c r="DO98" s="228">
        <f t="shared" si="153"/>
        <v>194.35242757490622</v>
      </c>
      <c r="DP98" s="228" t="e">
        <f t="shared" si="154"/>
        <v>#REF!</v>
      </c>
      <c r="DQ98" s="228" t="e">
        <f t="shared" si="155"/>
        <v>#REF!</v>
      </c>
    </row>
    <row r="99" spans="1:121">
      <c r="A99" s="132">
        <f t="shared" si="107"/>
        <v>89</v>
      </c>
      <c r="B99" s="18">
        <f t="shared" si="156"/>
        <v>89</v>
      </c>
      <c r="C99" s="18">
        <f>IF(A99=0," ",VLOOKUP(B99,'tosafot '!$A$7:$B$234,2,0))</f>
        <v>5.2015000000000002</v>
      </c>
      <c r="D99" s="220">
        <f t="shared" si="157"/>
        <v>228</v>
      </c>
      <c r="E99" s="130">
        <f t="shared" si="158"/>
        <v>12.2026</v>
      </c>
      <c r="F99" s="126">
        <f t="shared" si="159"/>
        <v>22</v>
      </c>
      <c r="G99" s="18" t="str">
        <f t="shared" si="160"/>
        <v>התחבורה</v>
      </c>
      <c r="H99" s="189">
        <f t="shared" si="161"/>
        <v>122</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36.75</v>
      </c>
      <c r="R99" s="128">
        <f t="shared" si="170"/>
        <v>148</v>
      </c>
      <c r="S99" s="130">
        <f t="shared" si="171"/>
        <v>1.4414995494685181</v>
      </c>
      <c r="T99" s="135">
        <f t="shared" si="108"/>
        <v>0</v>
      </c>
      <c r="U99" s="127">
        <f t="shared" si="109"/>
        <v>0</v>
      </c>
      <c r="V99" s="217">
        <v>0</v>
      </c>
      <c r="W99" s="191">
        <v>0</v>
      </c>
      <c r="X99" s="133">
        <v>0</v>
      </c>
      <c r="Y99" s="131">
        <f t="shared" si="110"/>
        <v>2438.5</v>
      </c>
      <c r="Z99" s="131">
        <f t="shared" si="111"/>
        <v>1076.5966513789815</v>
      </c>
      <c r="AA99" s="242">
        <f t="shared" si="112"/>
        <v>3515.0966513789817</v>
      </c>
      <c r="AB99" s="131">
        <f t="shared" si="113"/>
        <v>0</v>
      </c>
      <c r="AC99" s="131">
        <f t="shared" si="114"/>
        <v>140.60386605515927</v>
      </c>
      <c r="AD99" s="131">
        <f t="shared" si="115"/>
        <v>0</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160.55836672570746</v>
      </c>
      <c r="CC99" s="131">
        <f t="shared" si="133"/>
        <v>0</v>
      </c>
      <c r="CD99" s="136">
        <f t="shared" si="134"/>
        <v>0</v>
      </c>
      <c r="CE99" s="131">
        <f t="shared" si="182"/>
        <v>0</v>
      </c>
      <c r="CF99" s="136">
        <f t="shared" si="135"/>
        <v>0</v>
      </c>
      <c r="CG99" s="136"/>
      <c r="CH99" s="136">
        <f t="shared" si="181"/>
        <v>0</v>
      </c>
      <c r="CI99" s="131">
        <f t="shared" si="136"/>
        <v>0</v>
      </c>
      <c r="CJ99" s="131"/>
      <c r="CK99" s="136">
        <f t="shared" si="137"/>
        <v>0</v>
      </c>
      <c r="CL99" s="136">
        <f t="shared" si="138"/>
        <v>804.25411383551102</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0</v>
      </c>
      <c r="DC99" s="131">
        <f t="shared" si="105"/>
        <v>0</v>
      </c>
      <c r="DD99" s="131">
        <f t="shared" si="147"/>
        <v>0</v>
      </c>
      <c r="DE99" s="131">
        <f t="shared" si="148"/>
        <v>0</v>
      </c>
      <c r="DF99" s="131">
        <f t="shared" si="149"/>
        <v>0</v>
      </c>
      <c r="DG99" s="131">
        <f t="shared" si="150"/>
        <v>0</v>
      </c>
      <c r="DH99" s="131"/>
      <c r="DI99" s="131"/>
      <c r="DJ99" s="131"/>
      <c r="DK99" s="137">
        <f t="shared" si="180"/>
        <v>4620.5129979953599</v>
      </c>
      <c r="DL99" s="227" t="e">
        <f t="shared" si="151"/>
        <v>#REF!</v>
      </c>
      <c r="DM99" s="227" t="e">
        <f t="shared" si="152"/>
        <v>#REF!</v>
      </c>
      <c r="DN99" s="228" t="e">
        <f t="shared" si="106"/>
        <v>#REF!</v>
      </c>
      <c r="DO99" s="228">
        <f t="shared" si="153"/>
        <v>194.35242757490622</v>
      </c>
      <c r="DP99" s="228" t="e">
        <f t="shared" si="154"/>
        <v>#REF!</v>
      </c>
      <c r="DQ99" s="228" t="e">
        <f t="shared" si="155"/>
        <v>#REF!</v>
      </c>
    </row>
    <row r="100" spans="1:121">
      <c r="A100" s="132">
        <f t="shared" si="107"/>
        <v>90</v>
      </c>
      <c r="B100" s="18">
        <f t="shared" si="156"/>
        <v>90</v>
      </c>
      <c r="C100" s="18">
        <f>IF(A100=0," ",VLOOKUP(B100,'tosafot '!$A$7:$B$234,2,0))</f>
        <v>6.2015000000000002</v>
      </c>
      <c r="D100" s="220">
        <f t="shared" si="157"/>
        <v>228</v>
      </c>
      <c r="E100" s="130">
        <f t="shared" si="158"/>
        <v>12.2026</v>
      </c>
      <c r="F100" s="126">
        <f t="shared" si="159"/>
        <v>22</v>
      </c>
      <c r="G100" s="18" t="str">
        <f t="shared" si="160"/>
        <v>התחבורה</v>
      </c>
      <c r="H100" s="189">
        <f t="shared" si="161"/>
        <v>122</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36.75</v>
      </c>
      <c r="R100" s="128">
        <f t="shared" si="170"/>
        <v>148</v>
      </c>
      <c r="S100" s="130">
        <f t="shared" si="171"/>
        <v>1.4414995494685181</v>
      </c>
      <c r="T100" s="135">
        <f t="shared" si="108"/>
        <v>0</v>
      </c>
      <c r="U100" s="127">
        <f t="shared" si="109"/>
        <v>0</v>
      </c>
      <c r="V100" s="217">
        <v>0</v>
      </c>
      <c r="W100" s="191">
        <v>0</v>
      </c>
      <c r="X100" s="133">
        <v>0</v>
      </c>
      <c r="Y100" s="131">
        <f t="shared" si="110"/>
        <v>2438.5</v>
      </c>
      <c r="Z100" s="131">
        <f t="shared" si="111"/>
        <v>1076.5966513789815</v>
      </c>
      <c r="AA100" s="242">
        <f t="shared" si="112"/>
        <v>3515.0966513789817</v>
      </c>
      <c r="AB100" s="131">
        <f t="shared" si="113"/>
        <v>0</v>
      </c>
      <c r="AC100" s="131">
        <f t="shared" si="114"/>
        <v>140.60386605515927</v>
      </c>
      <c r="AD100" s="131">
        <f t="shared" si="115"/>
        <v>0</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160.55836672570746</v>
      </c>
      <c r="CC100" s="131">
        <f t="shared" si="133"/>
        <v>0</v>
      </c>
      <c r="CD100" s="136">
        <f t="shared" si="134"/>
        <v>0</v>
      </c>
      <c r="CE100" s="131">
        <f t="shared" si="182"/>
        <v>0</v>
      </c>
      <c r="CF100" s="136">
        <f t="shared" si="135"/>
        <v>0</v>
      </c>
      <c r="CG100" s="136"/>
      <c r="CH100" s="136">
        <f t="shared" si="181"/>
        <v>0</v>
      </c>
      <c r="CI100" s="131">
        <f t="shared" si="136"/>
        <v>0</v>
      </c>
      <c r="CJ100" s="131"/>
      <c r="CK100" s="136">
        <f t="shared" si="137"/>
        <v>0</v>
      </c>
      <c r="CL100" s="136">
        <f t="shared" si="138"/>
        <v>804.25411383551102</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0</v>
      </c>
      <c r="DC100" s="131">
        <f t="shared" si="105"/>
        <v>0</v>
      </c>
      <c r="DD100" s="131">
        <f t="shared" si="147"/>
        <v>0</v>
      </c>
      <c r="DE100" s="131">
        <f t="shared" si="148"/>
        <v>0</v>
      </c>
      <c r="DF100" s="131">
        <f t="shared" si="149"/>
        <v>0</v>
      </c>
      <c r="DG100" s="131">
        <f t="shared" si="150"/>
        <v>0</v>
      </c>
      <c r="DH100" s="131"/>
      <c r="DI100" s="131"/>
      <c r="DJ100" s="131"/>
      <c r="DK100" s="137">
        <f t="shared" si="180"/>
        <v>4620.5129979953599</v>
      </c>
      <c r="DL100" s="227" t="e">
        <f t="shared" si="151"/>
        <v>#REF!</v>
      </c>
      <c r="DM100" s="227" t="e">
        <f t="shared" si="152"/>
        <v>#REF!</v>
      </c>
      <c r="DN100" s="228" t="e">
        <f t="shared" si="106"/>
        <v>#REF!</v>
      </c>
      <c r="DO100" s="228">
        <f t="shared" si="153"/>
        <v>194.35242757490622</v>
      </c>
      <c r="DP100" s="228" t="e">
        <f t="shared" si="154"/>
        <v>#REF!</v>
      </c>
      <c r="DQ100" s="228" t="e">
        <f t="shared" si="155"/>
        <v>#REF!</v>
      </c>
    </row>
    <row r="101" spans="1:121">
      <c r="A101" s="132">
        <f t="shared" si="107"/>
        <v>91</v>
      </c>
      <c r="B101" s="18">
        <f t="shared" si="156"/>
        <v>91</v>
      </c>
      <c r="C101" s="18">
        <f>IF(A101=0," ",VLOOKUP(B101,'tosafot '!$A$7:$B$234,2,0))</f>
        <v>7.2015000000000002</v>
      </c>
      <c r="D101" s="220">
        <f t="shared" si="157"/>
        <v>228</v>
      </c>
      <c r="E101" s="130">
        <f t="shared" si="158"/>
        <v>12.2026</v>
      </c>
      <c r="F101" s="126">
        <f t="shared" si="159"/>
        <v>22</v>
      </c>
      <c r="G101" s="18" t="str">
        <f t="shared" si="160"/>
        <v>התחבורה</v>
      </c>
      <c r="H101" s="189">
        <f t="shared" si="161"/>
        <v>122</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36.75</v>
      </c>
      <c r="R101" s="128">
        <f t="shared" si="170"/>
        <v>148</v>
      </c>
      <c r="S101" s="130">
        <f t="shared" si="171"/>
        <v>1.4414995494685181</v>
      </c>
      <c r="T101" s="135">
        <f t="shared" si="108"/>
        <v>0</v>
      </c>
      <c r="U101" s="127">
        <f t="shared" si="109"/>
        <v>0</v>
      </c>
      <c r="V101" s="217">
        <v>0</v>
      </c>
      <c r="W101" s="191">
        <v>0</v>
      </c>
      <c r="X101" s="133">
        <v>0</v>
      </c>
      <c r="Y101" s="131">
        <f t="shared" si="110"/>
        <v>2438.5</v>
      </c>
      <c r="Z101" s="131">
        <f t="shared" si="111"/>
        <v>1076.5966513789815</v>
      </c>
      <c r="AA101" s="242">
        <f t="shared" si="112"/>
        <v>3515.0966513789817</v>
      </c>
      <c r="AB101" s="131">
        <f t="shared" si="113"/>
        <v>0</v>
      </c>
      <c r="AC101" s="131">
        <f t="shared" si="114"/>
        <v>140.60386605515927</v>
      </c>
      <c r="AD101" s="131">
        <f t="shared" si="115"/>
        <v>0</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160.55836672570746</v>
      </c>
      <c r="CC101" s="131">
        <f t="shared" si="133"/>
        <v>0</v>
      </c>
      <c r="CD101" s="136">
        <f t="shared" si="134"/>
        <v>0</v>
      </c>
      <c r="CE101" s="131">
        <f t="shared" si="182"/>
        <v>0</v>
      </c>
      <c r="CF101" s="136">
        <f t="shared" si="135"/>
        <v>0</v>
      </c>
      <c r="CG101" s="136"/>
      <c r="CH101" s="136">
        <f t="shared" si="181"/>
        <v>0</v>
      </c>
      <c r="CI101" s="131">
        <f t="shared" si="136"/>
        <v>0</v>
      </c>
      <c r="CJ101" s="131"/>
      <c r="CK101" s="136">
        <f t="shared" si="137"/>
        <v>0</v>
      </c>
      <c r="CL101" s="136">
        <f t="shared" si="138"/>
        <v>804.25411383551102</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0</v>
      </c>
      <c r="DC101" s="131">
        <f t="shared" si="105"/>
        <v>0</v>
      </c>
      <c r="DD101" s="131">
        <f t="shared" si="147"/>
        <v>0</v>
      </c>
      <c r="DE101" s="131">
        <f t="shared" si="148"/>
        <v>0</v>
      </c>
      <c r="DF101" s="131">
        <f t="shared" si="149"/>
        <v>0</v>
      </c>
      <c r="DG101" s="131">
        <f t="shared" si="150"/>
        <v>0</v>
      </c>
      <c r="DH101" s="131"/>
      <c r="DI101" s="131"/>
      <c r="DJ101" s="131"/>
      <c r="DK101" s="137">
        <f t="shared" si="180"/>
        <v>4620.5129979953599</v>
      </c>
      <c r="DL101" s="227" t="e">
        <f t="shared" si="151"/>
        <v>#REF!</v>
      </c>
      <c r="DM101" s="227" t="e">
        <f t="shared" si="152"/>
        <v>#REF!</v>
      </c>
      <c r="DN101" s="228" t="e">
        <f t="shared" si="106"/>
        <v>#REF!</v>
      </c>
      <c r="DO101" s="228">
        <f t="shared" si="153"/>
        <v>194.35242757490622</v>
      </c>
      <c r="DP101" s="228" t="e">
        <f t="shared" si="154"/>
        <v>#REF!</v>
      </c>
      <c r="DQ101" s="228" t="e">
        <f t="shared" si="155"/>
        <v>#REF!</v>
      </c>
    </row>
    <row r="102" spans="1:121">
      <c r="A102" s="132">
        <f t="shared" si="107"/>
        <v>92</v>
      </c>
      <c r="B102" s="18">
        <f t="shared" si="156"/>
        <v>92</v>
      </c>
      <c r="C102" s="18">
        <f>IF(A102=0," ",VLOOKUP(B102,'tosafot '!$A$7:$B$234,2,0))</f>
        <v>8.2014999999999993</v>
      </c>
      <c r="D102" s="220">
        <f t="shared" si="157"/>
        <v>228</v>
      </c>
      <c r="E102" s="130">
        <f t="shared" si="158"/>
        <v>12.2026</v>
      </c>
      <c r="F102" s="126">
        <f t="shared" si="159"/>
        <v>22</v>
      </c>
      <c r="G102" s="18" t="str">
        <f t="shared" si="160"/>
        <v>התחבורה</v>
      </c>
      <c r="H102" s="189">
        <f t="shared" si="161"/>
        <v>122</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36.75</v>
      </c>
      <c r="R102" s="128">
        <f t="shared" si="170"/>
        <v>148</v>
      </c>
      <c r="S102" s="130">
        <f t="shared" si="171"/>
        <v>1.4414995494685181</v>
      </c>
      <c r="T102" s="135">
        <f t="shared" si="108"/>
        <v>0</v>
      </c>
      <c r="U102" s="127">
        <f t="shared" si="109"/>
        <v>0</v>
      </c>
      <c r="V102" s="217">
        <v>0</v>
      </c>
      <c r="W102" s="191">
        <v>0</v>
      </c>
      <c r="X102" s="133">
        <v>0</v>
      </c>
      <c r="Y102" s="131">
        <f t="shared" si="110"/>
        <v>2438.5</v>
      </c>
      <c r="Z102" s="131">
        <f t="shared" si="111"/>
        <v>1076.5966513789815</v>
      </c>
      <c r="AA102" s="242">
        <f t="shared" si="112"/>
        <v>3515.0966513789817</v>
      </c>
      <c r="AB102" s="131">
        <f t="shared" si="113"/>
        <v>0</v>
      </c>
      <c r="AC102" s="131">
        <f t="shared" si="114"/>
        <v>140.60386605515927</v>
      </c>
      <c r="AD102" s="131">
        <f t="shared" si="115"/>
        <v>0</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160.55836672570746</v>
      </c>
      <c r="CC102" s="131">
        <f t="shared" si="133"/>
        <v>0</v>
      </c>
      <c r="CD102" s="136">
        <f t="shared" si="134"/>
        <v>0</v>
      </c>
      <c r="CE102" s="131">
        <f t="shared" si="182"/>
        <v>0</v>
      </c>
      <c r="CF102" s="136">
        <f t="shared" si="135"/>
        <v>0</v>
      </c>
      <c r="CG102" s="136"/>
      <c r="CH102" s="136">
        <f t="shared" si="181"/>
        <v>0</v>
      </c>
      <c r="CI102" s="131">
        <f t="shared" si="136"/>
        <v>0</v>
      </c>
      <c r="CJ102" s="131"/>
      <c r="CK102" s="136">
        <f t="shared" si="137"/>
        <v>0</v>
      </c>
      <c r="CL102" s="136">
        <f t="shared" si="138"/>
        <v>804.25411383551102</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0</v>
      </c>
      <c r="DC102" s="131">
        <f t="shared" si="105"/>
        <v>0</v>
      </c>
      <c r="DD102" s="131">
        <f t="shared" si="147"/>
        <v>0</v>
      </c>
      <c r="DE102" s="131">
        <f t="shared" si="148"/>
        <v>0</v>
      </c>
      <c r="DF102" s="131">
        <f t="shared" si="149"/>
        <v>0</v>
      </c>
      <c r="DG102" s="131">
        <f t="shared" si="150"/>
        <v>0</v>
      </c>
      <c r="DH102" s="131"/>
      <c r="DI102" s="131"/>
      <c r="DJ102" s="131"/>
      <c r="DK102" s="137">
        <f t="shared" si="180"/>
        <v>4620.5129979953599</v>
      </c>
      <c r="DL102" s="227" t="e">
        <f t="shared" si="151"/>
        <v>#REF!</v>
      </c>
      <c r="DM102" s="227" t="e">
        <f t="shared" si="152"/>
        <v>#REF!</v>
      </c>
      <c r="DN102" s="228" t="e">
        <f t="shared" si="106"/>
        <v>#REF!</v>
      </c>
      <c r="DO102" s="228">
        <f t="shared" si="153"/>
        <v>194.35242757490622</v>
      </c>
      <c r="DP102" s="228" t="e">
        <f t="shared" si="154"/>
        <v>#REF!</v>
      </c>
      <c r="DQ102" s="228" t="e">
        <f t="shared" si="155"/>
        <v>#REF!</v>
      </c>
    </row>
    <row r="103" spans="1:121">
      <c r="A103" s="132">
        <f t="shared" si="107"/>
        <v>93</v>
      </c>
      <c r="B103" s="18">
        <f t="shared" si="156"/>
        <v>93</v>
      </c>
      <c r="C103" s="18">
        <f>IF(A103=0," ",VLOOKUP(B103,'tosafot '!$A$7:$B$234,2,0))</f>
        <v>9.2014999999999993</v>
      </c>
      <c r="D103" s="220">
        <f t="shared" si="157"/>
        <v>228</v>
      </c>
      <c r="E103" s="130">
        <f t="shared" si="158"/>
        <v>12.2026</v>
      </c>
      <c r="F103" s="126">
        <f t="shared" si="159"/>
        <v>22</v>
      </c>
      <c r="G103" s="18" t="str">
        <f t="shared" si="160"/>
        <v>התחבורה</v>
      </c>
      <c r="H103" s="189">
        <f t="shared" si="161"/>
        <v>122</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36.75</v>
      </c>
      <c r="R103" s="128">
        <f t="shared" si="170"/>
        <v>148</v>
      </c>
      <c r="S103" s="130">
        <f t="shared" si="171"/>
        <v>1.4414995494685181</v>
      </c>
      <c r="T103" s="135">
        <f t="shared" si="108"/>
        <v>0</v>
      </c>
      <c r="U103" s="127">
        <f t="shared" si="109"/>
        <v>0</v>
      </c>
      <c r="V103" s="217">
        <v>0</v>
      </c>
      <c r="W103" s="191">
        <v>0</v>
      </c>
      <c r="X103" s="133">
        <v>0</v>
      </c>
      <c r="Y103" s="131">
        <f t="shared" si="110"/>
        <v>2438.5</v>
      </c>
      <c r="Z103" s="131">
        <f t="shared" si="111"/>
        <v>1076.5966513789815</v>
      </c>
      <c r="AA103" s="242">
        <f t="shared" si="112"/>
        <v>3515.0966513789817</v>
      </c>
      <c r="AB103" s="131">
        <f t="shared" si="113"/>
        <v>0</v>
      </c>
      <c r="AC103" s="131">
        <f t="shared" si="114"/>
        <v>140.60386605515927</v>
      </c>
      <c r="AD103" s="131">
        <f t="shared" si="115"/>
        <v>0</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160.55836672570746</v>
      </c>
      <c r="CC103" s="131">
        <f t="shared" si="133"/>
        <v>0</v>
      </c>
      <c r="CD103" s="136">
        <f t="shared" si="134"/>
        <v>0</v>
      </c>
      <c r="CE103" s="131">
        <f t="shared" si="182"/>
        <v>0</v>
      </c>
      <c r="CF103" s="136">
        <f t="shared" si="135"/>
        <v>0</v>
      </c>
      <c r="CG103" s="136"/>
      <c r="CH103" s="136">
        <f t="shared" si="181"/>
        <v>0</v>
      </c>
      <c r="CI103" s="131">
        <f t="shared" si="136"/>
        <v>0</v>
      </c>
      <c r="CJ103" s="131"/>
      <c r="CK103" s="136">
        <f t="shared" si="137"/>
        <v>0</v>
      </c>
      <c r="CL103" s="136">
        <f t="shared" si="138"/>
        <v>804.25411383551102</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0</v>
      </c>
      <c r="DC103" s="131">
        <f t="shared" si="105"/>
        <v>0</v>
      </c>
      <c r="DD103" s="131">
        <f t="shared" si="147"/>
        <v>0</v>
      </c>
      <c r="DE103" s="131">
        <f t="shared" si="148"/>
        <v>0</v>
      </c>
      <c r="DF103" s="131">
        <f t="shared" si="149"/>
        <v>0</v>
      </c>
      <c r="DG103" s="131">
        <f t="shared" si="150"/>
        <v>0</v>
      </c>
      <c r="DH103" s="131"/>
      <c r="DI103" s="131"/>
      <c r="DJ103" s="131"/>
      <c r="DK103" s="137">
        <f t="shared" si="180"/>
        <v>4620.5129979953599</v>
      </c>
      <c r="DL103" s="227" t="e">
        <f t="shared" si="151"/>
        <v>#REF!</v>
      </c>
      <c r="DM103" s="227" t="e">
        <f t="shared" si="152"/>
        <v>#REF!</v>
      </c>
      <c r="DN103" s="228" t="e">
        <f t="shared" si="106"/>
        <v>#REF!</v>
      </c>
      <c r="DO103" s="228">
        <f t="shared" si="153"/>
        <v>194.35242757490622</v>
      </c>
      <c r="DP103" s="228" t="e">
        <f t="shared" si="154"/>
        <v>#REF!</v>
      </c>
      <c r="DQ103" s="228" t="e">
        <f t="shared" si="155"/>
        <v>#REF!</v>
      </c>
    </row>
    <row r="104" spans="1:121">
      <c r="A104" s="132">
        <f t="shared" si="107"/>
        <v>94</v>
      </c>
      <c r="B104" s="18">
        <f t="shared" si="156"/>
        <v>94</v>
      </c>
      <c r="C104" s="18">
        <f>IF(A104=0," ",VLOOKUP(B104,'tosafot '!$A$7:$B$234,2,0))</f>
        <v>10.201499999999999</v>
      </c>
      <c r="D104" s="220">
        <f t="shared" si="157"/>
        <v>228</v>
      </c>
      <c r="E104" s="130">
        <f t="shared" si="158"/>
        <v>12.2026</v>
      </c>
      <c r="F104" s="126">
        <f t="shared" si="159"/>
        <v>22</v>
      </c>
      <c r="G104" s="18" t="str">
        <f t="shared" si="160"/>
        <v>התחבורה</v>
      </c>
      <c r="H104" s="189">
        <f t="shared" si="161"/>
        <v>122</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36.75</v>
      </c>
      <c r="R104" s="128">
        <f t="shared" si="170"/>
        <v>148</v>
      </c>
      <c r="S104" s="130">
        <f t="shared" si="171"/>
        <v>1.4414995494685181</v>
      </c>
      <c r="T104" s="135">
        <f t="shared" si="108"/>
        <v>0</v>
      </c>
      <c r="U104" s="127">
        <f t="shared" si="109"/>
        <v>0</v>
      </c>
      <c r="V104" s="217">
        <v>0</v>
      </c>
      <c r="W104" s="191">
        <v>0</v>
      </c>
      <c r="X104" s="133">
        <v>0</v>
      </c>
      <c r="Y104" s="131">
        <f t="shared" si="110"/>
        <v>2438.5</v>
      </c>
      <c r="Z104" s="131">
        <f t="shared" si="111"/>
        <v>1076.5966513789815</v>
      </c>
      <c r="AA104" s="242">
        <f t="shared" si="112"/>
        <v>3515.0966513789817</v>
      </c>
      <c r="AB104" s="131">
        <f t="shared" si="113"/>
        <v>0</v>
      </c>
      <c r="AC104" s="131">
        <f t="shared" si="114"/>
        <v>140.60386605515927</v>
      </c>
      <c r="AD104" s="131">
        <f t="shared" si="115"/>
        <v>0</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160.55836672570746</v>
      </c>
      <c r="CC104" s="131">
        <f t="shared" si="133"/>
        <v>0</v>
      </c>
      <c r="CD104" s="136">
        <f t="shared" si="134"/>
        <v>0</v>
      </c>
      <c r="CE104" s="131">
        <f t="shared" si="182"/>
        <v>0</v>
      </c>
      <c r="CF104" s="136">
        <f t="shared" si="135"/>
        <v>0</v>
      </c>
      <c r="CG104" s="136"/>
      <c r="CH104" s="136">
        <f t="shared" si="181"/>
        <v>0</v>
      </c>
      <c r="CI104" s="131">
        <f t="shared" si="136"/>
        <v>0</v>
      </c>
      <c r="CJ104" s="131"/>
      <c r="CK104" s="136">
        <f t="shared" si="137"/>
        <v>0</v>
      </c>
      <c r="CL104" s="136">
        <f t="shared" si="138"/>
        <v>804.25411383551102</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0</v>
      </c>
      <c r="DC104" s="131">
        <f t="shared" si="105"/>
        <v>0</v>
      </c>
      <c r="DD104" s="131">
        <f t="shared" si="147"/>
        <v>0</v>
      </c>
      <c r="DE104" s="131">
        <f t="shared" si="148"/>
        <v>0</v>
      </c>
      <c r="DF104" s="131">
        <f t="shared" si="149"/>
        <v>0</v>
      </c>
      <c r="DG104" s="131">
        <f t="shared" si="150"/>
        <v>0</v>
      </c>
      <c r="DH104" s="131"/>
      <c r="DI104" s="131"/>
      <c r="DJ104" s="131"/>
      <c r="DK104" s="137">
        <f t="shared" si="180"/>
        <v>4620.5129979953599</v>
      </c>
      <c r="DL104" s="227" t="e">
        <f t="shared" si="151"/>
        <v>#REF!</v>
      </c>
      <c r="DM104" s="227" t="e">
        <f t="shared" si="152"/>
        <v>#REF!</v>
      </c>
      <c r="DN104" s="228" t="e">
        <f t="shared" si="106"/>
        <v>#REF!</v>
      </c>
      <c r="DO104" s="228">
        <f t="shared" si="153"/>
        <v>194.35242757490622</v>
      </c>
      <c r="DP104" s="228" t="e">
        <f t="shared" si="154"/>
        <v>#REF!</v>
      </c>
      <c r="DQ104" s="228" t="e">
        <f t="shared" si="155"/>
        <v>#REF!</v>
      </c>
    </row>
    <row r="105" spans="1:121">
      <c r="A105" s="132">
        <f t="shared" si="107"/>
        <v>95</v>
      </c>
      <c r="B105" s="18">
        <f t="shared" si="156"/>
        <v>95</v>
      </c>
      <c r="C105" s="18">
        <f>IF(A105=0," ",VLOOKUP(B105,'tosafot '!$A$7:$B$234,2,0))</f>
        <v>11.201499999999999</v>
      </c>
      <c r="D105" s="220">
        <f t="shared" si="157"/>
        <v>228</v>
      </c>
      <c r="E105" s="130">
        <f t="shared" si="158"/>
        <v>12.2026</v>
      </c>
      <c r="F105" s="126">
        <f t="shared" si="159"/>
        <v>22</v>
      </c>
      <c r="G105" s="18" t="str">
        <f t="shared" si="160"/>
        <v>התחבורה</v>
      </c>
      <c r="H105" s="189">
        <f t="shared" si="161"/>
        <v>122</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36.75</v>
      </c>
      <c r="R105" s="128">
        <f t="shared" si="170"/>
        <v>148</v>
      </c>
      <c r="S105" s="130">
        <f t="shared" si="171"/>
        <v>1.4414995494685181</v>
      </c>
      <c r="T105" s="135">
        <f t="shared" si="108"/>
        <v>0</v>
      </c>
      <c r="U105" s="127">
        <f t="shared" si="109"/>
        <v>0</v>
      </c>
      <c r="V105" s="217">
        <v>0</v>
      </c>
      <c r="W105" s="191">
        <v>0</v>
      </c>
      <c r="X105" s="133">
        <v>0</v>
      </c>
      <c r="Y105" s="131">
        <f t="shared" si="110"/>
        <v>2438.5</v>
      </c>
      <c r="Z105" s="131">
        <f t="shared" si="111"/>
        <v>1076.5966513789815</v>
      </c>
      <c r="AA105" s="242">
        <f t="shared" si="112"/>
        <v>3515.0966513789817</v>
      </c>
      <c r="AB105" s="131">
        <f t="shared" si="113"/>
        <v>0</v>
      </c>
      <c r="AC105" s="131">
        <f t="shared" si="114"/>
        <v>140.60386605515927</v>
      </c>
      <c r="AD105" s="131">
        <f t="shared" si="115"/>
        <v>0</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160.55836672570746</v>
      </c>
      <c r="CC105" s="131">
        <f t="shared" si="133"/>
        <v>0</v>
      </c>
      <c r="CD105" s="136">
        <f t="shared" si="134"/>
        <v>0</v>
      </c>
      <c r="CE105" s="131">
        <f t="shared" si="182"/>
        <v>0</v>
      </c>
      <c r="CF105" s="136">
        <f t="shared" si="135"/>
        <v>0</v>
      </c>
      <c r="CG105" s="136"/>
      <c r="CH105" s="136">
        <f t="shared" si="181"/>
        <v>0</v>
      </c>
      <c r="CI105" s="131">
        <f t="shared" si="136"/>
        <v>0</v>
      </c>
      <c r="CJ105" s="131"/>
      <c r="CK105" s="136">
        <f t="shared" si="137"/>
        <v>0</v>
      </c>
      <c r="CL105" s="136">
        <f t="shared" si="138"/>
        <v>804.25411383551102</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0</v>
      </c>
      <c r="DC105" s="131">
        <f t="shared" si="105"/>
        <v>0</v>
      </c>
      <c r="DD105" s="131">
        <f t="shared" si="147"/>
        <v>0</v>
      </c>
      <c r="DE105" s="131">
        <f t="shared" si="148"/>
        <v>0</v>
      </c>
      <c r="DF105" s="131">
        <f t="shared" si="149"/>
        <v>0</v>
      </c>
      <c r="DG105" s="131">
        <f t="shared" si="150"/>
        <v>0</v>
      </c>
      <c r="DH105" s="131"/>
      <c r="DI105" s="131"/>
      <c r="DJ105" s="131"/>
      <c r="DK105" s="137">
        <f t="shared" si="180"/>
        <v>4620.5129979953599</v>
      </c>
      <c r="DL105" s="227" t="e">
        <f t="shared" si="151"/>
        <v>#REF!</v>
      </c>
      <c r="DM105" s="227" t="e">
        <f t="shared" si="152"/>
        <v>#REF!</v>
      </c>
      <c r="DN105" s="228" t="e">
        <f t="shared" si="106"/>
        <v>#REF!</v>
      </c>
      <c r="DO105" s="228">
        <f t="shared" si="153"/>
        <v>194.35242757490622</v>
      </c>
      <c r="DP105" s="228" t="e">
        <f t="shared" si="154"/>
        <v>#REF!</v>
      </c>
      <c r="DQ105" s="228" t="e">
        <f t="shared" si="155"/>
        <v>#REF!</v>
      </c>
    </row>
    <row r="106" spans="1:121">
      <c r="A106" s="132">
        <f t="shared" si="107"/>
        <v>96</v>
      </c>
      <c r="B106" s="18">
        <f t="shared" si="156"/>
        <v>96</v>
      </c>
      <c r="C106" s="18">
        <f>IF(A106=0," ",VLOOKUP(B106,'tosafot '!$A$7:$B$234,2,0))</f>
        <v>12.201499999999999</v>
      </c>
      <c r="D106" s="220">
        <f t="shared" si="157"/>
        <v>228</v>
      </c>
      <c r="E106" s="130">
        <f t="shared" si="158"/>
        <v>12.2026</v>
      </c>
      <c r="F106" s="126">
        <f t="shared" si="159"/>
        <v>22</v>
      </c>
      <c r="G106" s="18" t="str">
        <f t="shared" si="160"/>
        <v>התחבורה</v>
      </c>
      <c r="H106" s="189">
        <f t="shared" si="161"/>
        <v>122</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36.75</v>
      </c>
      <c r="R106" s="128">
        <f t="shared" si="170"/>
        <v>148</v>
      </c>
      <c r="S106" s="130">
        <f t="shared" si="171"/>
        <v>1.4414995494685181</v>
      </c>
      <c r="T106" s="135">
        <f t="shared" si="108"/>
        <v>0</v>
      </c>
      <c r="U106" s="127">
        <f t="shared" si="109"/>
        <v>0</v>
      </c>
      <c r="V106" s="217">
        <v>0</v>
      </c>
      <c r="W106" s="191">
        <v>0</v>
      </c>
      <c r="X106" s="133">
        <v>0</v>
      </c>
      <c r="Y106" s="131">
        <f t="shared" si="110"/>
        <v>2438.5</v>
      </c>
      <c r="Z106" s="131">
        <f t="shared" si="111"/>
        <v>1076.5966513789815</v>
      </c>
      <c r="AA106" s="242">
        <f t="shared" si="112"/>
        <v>3515.0966513789817</v>
      </c>
      <c r="AB106" s="131">
        <f t="shared" si="113"/>
        <v>0</v>
      </c>
      <c r="AC106" s="131">
        <f t="shared" si="114"/>
        <v>140.60386605515927</v>
      </c>
      <c r="AD106" s="131">
        <f t="shared" si="115"/>
        <v>0</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160.55836672570746</v>
      </c>
      <c r="CC106" s="131">
        <f t="shared" si="133"/>
        <v>0</v>
      </c>
      <c r="CD106" s="136">
        <f t="shared" si="134"/>
        <v>0</v>
      </c>
      <c r="CE106" s="131">
        <f t="shared" si="182"/>
        <v>0</v>
      </c>
      <c r="CF106" s="136">
        <f t="shared" si="135"/>
        <v>0</v>
      </c>
      <c r="CG106" s="136"/>
      <c r="CH106" s="136">
        <f t="shared" si="181"/>
        <v>0</v>
      </c>
      <c r="CI106" s="131">
        <f t="shared" si="136"/>
        <v>0</v>
      </c>
      <c r="CJ106" s="131"/>
      <c r="CK106" s="136">
        <f t="shared" si="137"/>
        <v>0</v>
      </c>
      <c r="CL106" s="136">
        <f t="shared" si="138"/>
        <v>804.25411383551102</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0</v>
      </c>
      <c r="DC106" s="131">
        <f t="shared" si="105"/>
        <v>0</v>
      </c>
      <c r="DD106" s="131">
        <f t="shared" si="147"/>
        <v>0</v>
      </c>
      <c r="DE106" s="131">
        <f t="shared" si="148"/>
        <v>0</v>
      </c>
      <c r="DF106" s="131">
        <f t="shared" si="149"/>
        <v>0</v>
      </c>
      <c r="DG106" s="131">
        <f t="shared" si="150"/>
        <v>0</v>
      </c>
      <c r="DH106" s="131"/>
      <c r="DI106" s="131"/>
      <c r="DJ106" s="131"/>
      <c r="DK106" s="137">
        <f t="shared" si="180"/>
        <v>4620.5129979953599</v>
      </c>
      <c r="DL106" s="227" t="e">
        <f t="shared" si="151"/>
        <v>#REF!</v>
      </c>
      <c r="DM106" s="227" t="e">
        <f t="shared" si="152"/>
        <v>#REF!</v>
      </c>
      <c r="DN106" s="228" t="e">
        <f t="shared" si="106"/>
        <v>#REF!</v>
      </c>
      <c r="DO106" s="228">
        <f t="shared" si="153"/>
        <v>194.35242757490622</v>
      </c>
      <c r="DP106" s="228" t="e">
        <f t="shared" si="154"/>
        <v>#REF!</v>
      </c>
      <c r="DQ106" s="228" t="e">
        <f t="shared" si="155"/>
        <v>#REF!</v>
      </c>
    </row>
    <row r="107" spans="1:121">
      <c r="A107" s="132">
        <f t="shared" si="107"/>
        <v>97</v>
      </c>
      <c r="B107" s="18">
        <f t="shared" si="156"/>
        <v>97</v>
      </c>
      <c r="C107" s="18">
        <f>IF(A107=0," ",VLOOKUP(B107,'tosafot '!$A$7:$B$234,2,0))</f>
        <v>1.2016</v>
      </c>
      <c r="D107" s="220">
        <f t="shared" si="157"/>
        <v>228</v>
      </c>
      <c r="E107" s="130">
        <f t="shared" si="158"/>
        <v>12.2026</v>
      </c>
      <c r="F107" s="126">
        <f t="shared" si="159"/>
        <v>22</v>
      </c>
      <c r="G107" s="18" t="str">
        <f t="shared" si="160"/>
        <v>התחבורה</v>
      </c>
      <c r="H107" s="189">
        <f t="shared" si="161"/>
        <v>122</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36.75</v>
      </c>
      <c r="R107" s="128">
        <f t="shared" si="170"/>
        <v>148</v>
      </c>
      <c r="S107" s="130">
        <f t="shared" si="171"/>
        <v>1.4414995494685181</v>
      </c>
      <c r="T107" s="135">
        <f t="shared" si="108"/>
        <v>0</v>
      </c>
      <c r="U107" s="127">
        <f t="shared" si="109"/>
        <v>0</v>
      </c>
      <c r="V107" s="217">
        <v>0</v>
      </c>
      <c r="W107" s="191">
        <v>0</v>
      </c>
      <c r="X107" s="133">
        <v>0</v>
      </c>
      <c r="Y107" s="131">
        <f t="shared" si="110"/>
        <v>2438.5</v>
      </c>
      <c r="Z107" s="131">
        <f t="shared" si="111"/>
        <v>1076.5966513789815</v>
      </c>
      <c r="AA107" s="242">
        <f t="shared" si="112"/>
        <v>3515.0966513789817</v>
      </c>
      <c r="AB107" s="131">
        <f t="shared" si="113"/>
        <v>0</v>
      </c>
      <c r="AC107" s="131">
        <f t="shared" si="114"/>
        <v>140.60386605515927</v>
      </c>
      <c r="AD107" s="131">
        <f t="shared" si="115"/>
        <v>0</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160.55836672570746</v>
      </c>
      <c r="CC107" s="131">
        <f t="shared" si="133"/>
        <v>0</v>
      </c>
      <c r="CD107" s="136">
        <f t="shared" si="134"/>
        <v>0</v>
      </c>
      <c r="CE107" s="131">
        <f t="shared" si="182"/>
        <v>0</v>
      </c>
      <c r="CF107" s="136">
        <f t="shared" si="135"/>
        <v>0</v>
      </c>
      <c r="CG107" s="136"/>
      <c r="CH107" s="136">
        <f t="shared" si="181"/>
        <v>0</v>
      </c>
      <c r="CI107" s="131">
        <f t="shared" si="136"/>
        <v>0</v>
      </c>
      <c r="CJ107" s="131"/>
      <c r="CK107" s="136">
        <f t="shared" si="137"/>
        <v>0</v>
      </c>
      <c r="CL107" s="136">
        <f t="shared" si="138"/>
        <v>804.25411383551102</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0</v>
      </c>
      <c r="DC107" s="131">
        <f t="shared" si="105"/>
        <v>0</v>
      </c>
      <c r="DD107" s="131">
        <f t="shared" si="147"/>
        <v>0</v>
      </c>
      <c r="DE107" s="131">
        <f t="shared" si="148"/>
        <v>0</v>
      </c>
      <c r="DF107" s="131">
        <f t="shared" si="149"/>
        <v>0</v>
      </c>
      <c r="DG107" s="131">
        <f t="shared" si="150"/>
        <v>0</v>
      </c>
      <c r="DH107" s="131"/>
      <c r="DI107" s="131"/>
      <c r="DJ107" s="131"/>
      <c r="DK107" s="137">
        <f t="shared" si="180"/>
        <v>4620.5129979953599</v>
      </c>
      <c r="DL107" s="227" t="e">
        <f t="shared" si="151"/>
        <v>#REF!</v>
      </c>
      <c r="DM107" s="227" t="e">
        <f t="shared" si="152"/>
        <v>#REF!</v>
      </c>
      <c r="DN107" s="228" t="e">
        <f t="shared" si="106"/>
        <v>#REF!</v>
      </c>
      <c r="DO107" s="228">
        <f t="shared" si="153"/>
        <v>194.35242757490622</v>
      </c>
      <c r="DP107" s="228" t="e">
        <f t="shared" si="154"/>
        <v>#REF!</v>
      </c>
      <c r="DQ107" s="228" t="e">
        <f t="shared" si="155"/>
        <v>#REF!</v>
      </c>
    </row>
    <row r="108" spans="1:121">
      <c r="A108" s="132">
        <f t="shared" si="107"/>
        <v>98</v>
      </c>
      <c r="B108" s="18">
        <f t="shared" si="156"/>
        <v>98</v>
      </c>
      <c r="C108" s="18">
        <f>IF(A108=0," ",VLOOKUP(B108,'tosafot '!$A$7:$B$234,2,0))</f>
        <v>2.2016</v>
      </c>
      <c r="D108" s="220">
        <f t="shared" si="157"/>
        <v>228</v>
      </c>
      <c r="E108" s="130">
        <f t="shared" si="158"/>
        <v>12.2026</v>
      </c>
      <c r="F108" s="126">
        <f t="shared" si="159"/>
        <v>22</v>
      </c>
      <c r="G108" s="18" t="str">
        <f t="shared" si="160"/>
        <v>התחבורה</v>
      </c>
      <c r="H108" s="189">
        <f t="shared" si="161"/>
        <v>122</v>
      </c>
      <c r="I108" s="18">
        <f t="shared" si="162"/>
        <v>1</v>
      </c>
      <c r="J108" s="18" t="str">
        <f t="shared" si="163"/>
        <v>מינהלי - עובדי מדינה</v>
      </c>
      <c r="K108" s="189">
        <f t="shared" si="164"/>
        <v>1</v>
      </c>
      <c r="L108" s="18">
        <f t="shared" si="165"/>
        <v>12</v>
      </c>
      <c r="M108" s="129" t="str">
        <f t="shared" si="166"/>
        <v>17+</v>
      </c>
      <c r="N108" s="189"/>
      <c r="O108" s="132">
        <f t="shared" si="167"/>
        <v>1012</v>
      </c>
      <c r="P108" s="127">
        <f t="shared" si="168"/>
        <v>37</v>
      </c>
      <c r="Q108" s="127">
        <f t="shared" si="169"/>
        <v>36.75</v>
      </c>
      <c r="R108" s="128">
        <f t="shared" si="170"/>
        <v>148</v>
      </c>
      <c r="S108" s="130">
        <f t="shared" si="171"/>
        <v>1.4414995494685181</v>
      </c>
      <c r="T108" s="135">
        <f t="shared" si="108"/>
        <v>0</v>
      </c>
      <c r="U108" s="127">
        <f t="shared" si="109"/>
        <v>0</v>
      </c>
      <c r="V108" s="217">
        <v>0</v>
      </c>
      <c r="W108" s="191">
        <v>0</v>
      </c>
      <c r="X108" s="133">
        <v>0</v>
      </c>
      <c r="Y108" s="131">
        <f t="shared" si="110"/>
        <v>2438.5</v>
      </c>
      <c r="Z108" s="131">
        <f t="shared" si="111"/>
        <v>1076.5966513789815</v>
      </c>
      <c r="AA108" s="242">
        <f t="shared" si="112"/>
        <v>3515.0966513789817</v>
      </c>
      <c r="AB108" s="131">
        <f t="shared" si="113"/>
        <v>0</v>
      </c>
      <c r="AC108" s="131">
        <f t="shared" si="114"/>
        <v>140.60386605515927</v>
      </c>
      <c r="AD108" s="131">
        <f t="shared" si="115"/>
        <v>0</v>
      </c>
      <c r="AE108" s="131">
        <f t="shared" si="116"/>
        <v>0</v>
      </c>
      <c r="AF108" s="131">
        <f t="shared" si="117"/>
        <v>0</v>
      </c>
      <c r="AG108" s="131">
        <f t="shared" si="118"/>
        <v>0</v>
      </c>
      <c r="AH108" s="131">
        <f t="shared" si="119"/>
        <v>0</v>
      </c>
      <c r="AI108" s="131">
        <f t="shared" si="120"/>
        <v>0</v>
      </c>
      <c r="AJ108" s="131">
        <f t="shared" si="121"/>
        <v>0</v>
      </c>
      <c r="AK108" s="131"/>
      <c r="AL108" s="131">
        <f t="shared" si="122"/>
        <v>0</v>
      </c>
      <c r="AM108" s="131"/>
      <c r="AN108" s="243">
        <f t="shared" si="123"/>
        <v>0</v>
      </c>
      <c r="AO108" s="131">
        <f t="shared" si="124"/>
        <v>0</v>
      </c>
      <c r="AP108" s="131">
        <f t="shared" si="125"/>
        <v>0</v>
      </c>
      <c r="AQ108" s="131"/>
      <c r="AR108" s="131">
        <f t="shared" si="126"/>
        <v>0</v>
      </c>
      <c r="AS108" s="131">
        <f t="shared" si="172"/>
        <v>0</v>
      </c>
      <c r="AT108" s="131">
        <f t="shared" si="127"/>
        <v>0</v>
      </c>
      <c r="AU108" s="131">
        <f t="shared" si="128"/>
        <v>0</v>
      </c>
      <c r="AV108" s="131"/>
      <c r="AW108" s="131">
        <f t="shared" si="129"/>
        <v>0</v>
      </c>
      <c r="AX108" s="131">
        <f t="shared" si="183"/>
        <v>0</v>
      </c>
      <c r="AY108" s="131">
        <f t="shared" si="130"/>
        <v>0</v>
      </c>
      <c r="AZ108" s="131"/>
      <c r="BA108" s="131">
        <f t="shared" si="184"/>
        <v>0</v>
      </c>
      <c r="BB108" s="131"/>
      <c r="BC108" s="131"/>
      <c r="BD108" s="131">
        <f t="shared" si="131"/>
        <v>0</v>
      </c>
      <c r="BE108" s="131"/>
      <c r="BF108" s="131">
        <f t="shared" si="173"/>
        <v>0</v>
      </c>
      <c r="BG108" s="131">
        <f t="shared" si="174"/>
        <v>0</v>
      </c>
      <c r="BH108" s="131"/>
      <c r="BI108" s="131"/>
      <c r="BJ108" s="131"/>
      <c r="BK108" s="131">
        <f t="shared" si="175"/>
        <v>0</v>
      </c>
      <c r="BL108" s="131"/>
      <c r="BM108" s="131"/>
      <c r="BN108" s="131">
        <f t="shared" si="176"/>
        <v>0</v>
      </c>
      <c r="BO108" s="131"/>
      <c r="BP108" s="131">
        <f t="shared" si="177"/>
        <v>0</v>
      </c>
      <c r="BQ108" s="131"/>
      <c r="BR108" s="131"/>
      <c r="BS108" s="131"/>
      <c r="BT108" s="131"/>
      <c r="BU108" s="131"/>
      <c r="BV108" s="131">
        <f t="shared" si="178"/>
        <v>0</v>
      </c>
      <c r="BW108" s="131"/>
      <c r="BX108" s="131"/>
      <c r="BY108" s="131"/>
      <c r="BZ108" s="131">
        <f t="shared" si="179"/>
        <v>0</v>
      </c>
      <c r="CA108" s="131"/>
      <c r="CB108" s="136">
        <f t="shared" si="132"/>
        <v>160.55836672570746</v>
      </c>
      <c r="CC108" s="131">
        <f t="shared" si="133"/>
        <v>0</v>
      </c>
      <c r="CD108" s="136">
        <f t="shared" si="134"/>
        <v>0</v>
      </c>
      <c r="CE108" s="131">
        <f t="shared" si="182"/>
        <v>0</v>
      </c>
      <c r="CF108" s="136">
        <f t="shared" si="135"/>
        <v>0</v>
      </c>
      <c r="CG108" s="136"/>
      <c r="CH108" s="136">
        <f t="shared" si="181"/>
        <v>0</v>
      </c>
      <c r="CI108" s="131">
        <f t="shared" si="136"/>
        <v>0</v>
      </c>
      <c r="CJ108" s="131"/>
      <c r="CK108" s="136">
        <f t="shared" si="137"/>
        <v>0</v>
      </c>
      <c r="CL108" s="136">
        <f t="shared" si="138"/>
        <v>804.25411383551102</v>
      </c>
      <c r="CM108" s="131">
        <f t="shared" si="139"/>
        <v>0</v>
      </c>
      <c r="CN108" s="136">
        <f t="shared" si="140"/>
        <v>0</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f t="shared" si="146"/>
        <v>0</v>
      </c>
      <c r="DC108" s="131">
        <f t="shared" si="105"/>
        <v>0</v>
      </c>
      <c r="DD108" s="131">
        <f t="shared" si="147"/>
        <v>0</v>
      </c>
      <c r="DE108" s="131">
        <f t="shared" si="148"/>
        <v>0</v>
      </c>
      <c r="DF108" s="131">
        <f t="shared" si="149"/>
        <v>0</v>
      </c>
      <c r="DG108" s="131">
        <f t="shared" si="150"/>
        <v>0</v>
      </c>
      <c r="DH108" s="131"/>
      <c r="DI108" s="131"/>
      <c r="DJ108" s="131"/>
      <c r="DK108" s="137">
        <f t="shared" si="180"/>
        <v>4620.5129979953599</v>
      </c>
      <c r="DL108" s="227" t="e">
        <f t="shared" si="151"/>
        <v>#REF!</v>
      </c>
      <c r="DM108" s="227" t="e">
        <f t="shared" si="152"/>
        <v>#REF!</v>
      </c>
      <c r="DN108" s="228" t="e">
        <f t="shared" si="106"/>
        <v>#REF!</v>
      </c>
      <c r="DO108" s="228">
        <f t="shared" si="153"/>
        <v>194.35242757490622</v>
      </c>
      <c r="DP108" s="228" t="e">
        <f t="shared" si="154"/>
        <v>#REF!</v>
      </c>
      <c r="DQ108" s="228" t="e">
        <f t="shared" si="155"/>
        <v>#REF!</v>
      </c>
    </row>
    <row r="109" spans="1:121">
      <c r="A109" s="132">
        <f t="shared" si="107"/>
        <v>99</v>
      </c>
      <c r="B109" s="18">
        <f t="shared" si="156"/>
        <v>99</v>
      </c>
      <c r="C109" s="18">
        <f>IF(A109=0," ",VLOOKUP(B109,'tosafot '!$A$7:$B$234,2,0))</f>
        <v>3.2016</v>
      </c>
      <c r="D109" s="220">
        <f t="shared" si="157"/>
        <v>228</v>
      </c>
      <c r="E109" s="130">
        <f t="shared" si="158"/>
        <v>12.2026</v>
      </c>
      <c r="F109" s="126">
        <f t="shared" si="159"/>
        <v>22</v>
      </c>
      <c r="G109" s="18" t="str">
        <f t="shared" si="160"/>
        <v>התחבורה</v>
      </c>
      <c r="H109" s="189">
        <f t="shared" si="161"/>
        <v>122</v>
      </c>
      <c r="I109" s="18">
        <f t="shared" si="162"/>
        <v>1</v>
      </c>
      <c r="J109" s="18" t="str">
        <f t="shared" si="163"/>
        <v>מינהלי - עובדי מדינה</v>
      </c>
      <c r="K109" s="189">
        <f t="shared" si="164"/>
        <v>1</v>
      </c>
      <c r="L109" s="18">
        <f t="shared" si="165"/>
        <v>12</v>
      </c>
      <c r="M109" s="129" t="str">
        <f t="shared" si="166"/>
        <v>17+</v>
      </c>
      <c r="N109" s="189"/>
      <c r="O109" s="132">
        <f t="shared" si="167"/>
        <v>1012</v>
      </c>
      <c r="P109" s="127">
        <f t="shared" si="168"/>
        <v>37</v>
      </c>
      <c r="Q109" s="127">
        <f t="shared" si="169"/>
        <v>36.75</v>
      </c>
      <c r="R109" s="128">
        <f t="shared" si="170"/>
        <v>148</v>
      </c>
      <c r="S109" s="130">
        <f t="shared" si="171"/>
        <v>1.4414995494685181</v>
      </c>
      <c r="T109" s="135">
        <f t="shared" si="108"/>
        <v>0</v>
      </c>
      <c r="U109" s="127">
        <f t="shared" si="109"/>
        <v>0</v>
      </c>
      <c r="V109" s="217">
        <v>0</v>
      </c>
      <c r="W109" s="191">
        <v>0</v>
      </c>
      <c r="X109" s="133">
        <v>0</v>
      </c>
      <c r="Y109" s="131">
        <f t="shared" si="110"/>
        <v>2438.5</v>
      </c>
      <c r="Z109" s="131">
        <f t="shared" si="111"/>
        <v>1076.5966513789815</v>
      </c>
      <c r="AA109" s="242">
        <f t="shared" si="112"/>
        <v>3515.0966513789817</v>
      </c>
      <c r="AB109" s="131">
        <f t="shared" si="113"/>
        <v>0</v>
      </c>
      <c r="AC109" s="131">
        <f t="shared" si="114"/>
        <v>140.60386605515927</v>
      </c>
      <c r="AD109" s="131">
        <f t="shared" si="115"/>
        <v>0</v>
      </c>
      <c r="AE109" s="131">
        <f t="shared" si="116"/>
        <v>0</v>
      </c>
      <c r="AF109" s="131">
        <f t="shared" si="117"/>
        <v>0</v>
      </c>
      <c r="AG109" s="131">
        <f t="shared" si="118"/>
        <v>0</v>
      </c>
      <c r="AH109" s="131">
        <f t="shared" si="119"/>
        <v>0</v>
      </c>
      <c r="AI109" s="131">
        <f t="shared" si="120"/>
        <v>0</v>
      </c>
      <c r="AJ109" s="131">
        <f t="shared" si="121"/>
        <v>0</v>
      </c>
      <c r="AK109" s="131"/>
      <c r="AL109" s="131">
        <f t="shared" si="122"/>
        <v>0</v>
      </c>
      <c r="AM109" s="131"/>
      <c r="AN109" s="243">
        <f t="shared" si="123"/>
        <v>0</v>
      </c>
      <c r="AO109" s="131">
        <f t="shared" si="124"/>
        <v>0</v>
      </c>
      <c r="AP109" s="131">
        <f t="shared" si="125"/>
        <v>0</v>
      </c>
      <c r="AQ109" s="131"/>
      <c r="AR109" s="131">
        <f t="shared" si="126"/>
        <v>0</v>
      </c>
      <c r="AS109" s="131">
        <f t="shared" si="172"/>
        <v>0</v>
      </c>
      <c r="AT109" s="131">
        <f t="shared" si="127"/>
        <v>0</v>
      </c>
      <c r="AU109" s="131">
        <f t="shared" si="128"/>
        <v>0</v>
      </c>
      <c r="AV109" s="131"/>
      <c r="AW109" s="131">
        <f t="shared" si="129"/>
        <v>0</v>
      </c>
      <c r="AX109" s="131">
        <f t="shared" si="183"/>
        <v>0</v>
      </c>
      <c r="AY109" s="131">
        <f t="shared" si="130"/>
        <v>0</v>
      </c>
      <c r="AZ109" s="131"/>
      <c r="BA109" s="131">
        <f t="shared" si="184"/>
        <v>0</v>
      </c>
      <c r="BB109" s="131"/>
      <c r="BC109" s="131"/>
      <c r="BD109" s="131">
        <f t="shared" si="131"/>
        <v>0</v>
      </c>
      <c r="BE109" s="131"/>
      <c r="BF109" s="131">
        <f t="shared" si="173"/>
        <v>0</v>
      </c>
      <c r="BG109" s="131">
        <f t="shared" si="174"/>
        <v>0</v>
      </c>
      <c r="BH109" s="131"/>
      <c r="BI109" s="131"/>
      <c r="BJ109" s="131"/>
      <c r="BK109" s="131">
        <f t="shared" si="175"/>
        <v>0</v>
      </c>
      <c r="BL109" s="131"/>
      <c r="BM109" s="131"/>
      <c r="BN109" s="131">
        <f t="shared" si="176"/>
        <v>0</v>
      </c>
      <c r="BO109" s="131"/>
      <c r="BP109" s="131">
        <f t="shared" si="177"/>
        <v>0</v>
      </c>
      <c r="BQ109" s="131"/>
      <c r="BR109" s="131"/>
      <c r="BS109" s="131"/>
      <c r="BT109" s="131"/>
      <c r="BU109" s="131"/>
      <c r="BV109" s="131">
        <f t="shared" si="178"/>
        <v>0</v>
      </c>
      <c r="BW109" s="131"/>
      <c r="BX109" s="131"/>
      <c r="BY109" s="131"/>
      <c r="BZ109" s="131">
        <f t="shared" si="179"/>
        <v>0</v>
      </c>
      <c r="CA109" s="131"/>
      <c r="CB109" s="136">
        <f t="shared" si="132"/>
        <v>160.55836672570746</v>
      </c>
      <c r="CC109" s="131">
        <f t="shared" si="133"/>
        <v>0</v>
      </c>
      <c r="CD109" s="136">
        <f t="shared" si="134"/>
        <v>0</v>
      </c>
      <c r="CE109" s="131">
        <f t="shared" si="182"/>
        <v>0</v>
      </c>
      <c r="CF109" s="136">
        <f t="shared" si="135"/>
        <v>0</v>
      </c>
      <c r="CG109" s="136"/>
      <c r="CH109" s="136">
        <f t="shared" si="181"/>
        <v>0</v>
      </c>
      <c r="CI109" s="131">
        <f t="shared" si="136"/>
        <v>0</v>
      </c>
      <c r="CJ109" s="131"/>
      <c r="CK109" s="136">
        <f t="shared" si="137"/>
        <v>0</v>
      </c>
      <c r="CL109" s="136">
        <f t="shared" si="138"/>
        <v>804.25411383551102</v>
      </c>
      <c r="CM109" s="131">
        <f t="shared" si="139"/>
        <v>0</v>
      </c>
      <c r="CN109" s="136">
        <f t="shared" si="140"/>
        <v>0</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f t="shared" si="146"/>
        <v>0</v>
      </c>
      <c r="DC109" s="131">
        <f t="shared" si="105"/>
        <v>0</v>
      </c>
      <c r="DD109" s="131">
        <f t="shared" si="147"/>
        <v>0</v>
      </c>
      <c r="DE109" s="131">
        <f t="shared" si="148"/>
        <v>0</v>
      </c>
      <c r="DF109" s="131">
        <f t="shared" si="149"/>
        <v>0</v>
      </c>
      <c r="DG109" s="131">
        <f t="shared" si="150"/>
        <v>0</v>
      </c>
      <c r="DH109" s="131"/>
      <c r="DI109" s="131"/>
      <c r="DJ109" s="131"/>
      <c r="DK109" s="137">
        <f t="shared" si="180"/>
        <v>4620.5129979953599</v>
      </c>
      <c r="DL109" s="227" t="e">
        <f t="shared" si="151"/>
        <v>#REF!</v>
      </c>
      <c r="DM109" s="227" t="e">
        <f t="shared" si="152"/>
        <v>#REF!</v>
      </c>
      <c r="DN109" s="228" t="e">
        <f t="shared" si="106"/>
        <v>#REF!</v>
      </c>
      <c r="DO109" s="228">
        <f t="shared" si="153"/>
        <v>194.35242757490622</v>
      </c>
      <c r="DP109" s="228" t="e">
        <f t="shared" si="154"/>
        <v>#REF!</v>
      </c>
      <c r="DQ109" s="228" t="e">
        <f t="shared" si="155"/>
        <v>#REF!</v>
      </c>
    </row>
    <row r="110" spans="1:121">
      <c r="A110" s="132">
        <f t="shared" si="107"/>
        <v>100</v>
      </c>
      <c r="B110" s="18">
        <f t="shared" si="156"/>
        <v>100</v>
      </c>
      <c r="C110" s="18">
        <f>IF(A110=0," ",VLOOKUP(B110,'tosafot '!$A$7:$B$234,2,0))</f>
        <v>4.2016</v>
      </c>
      <c r="D110" s="220">
        <f t="shared" si="157"/>
        <v>228</v>
      </c>
      <c r="E110" s="130">
        <f t="shared" si="158"/>
        <v>12.2026</v>
      </c>
      <c r="F110" s="126">
        <f t="shared" si="159"/>
        <v>22</v>
      </c>
      <c r="G110" s="18" t="str">
        <f t="shared" si="160"/>
        <v>התחבורה</v>
      </c>
      <c r="H110" s="189">
        <f t="shared" si="161"/>
        <v>122</v>
      </c>
      <c r="I110" s="18">
        <f t="shared" si="162"/>
        <v>1</v>
      </c>
      <c r="J110" s="18" t="str">
        <f t="shared" si="163"/>
        <v>מינהלי - עובדי מדינה</v>
      </c>
      <c r="K110" s="189">
        <f t="shared" si="164"/>
        <v>1</v>
      </c>
      <c r="L110" s="18">
        <f t="shared" si="165"/>
        <v>12</v>
      </c>
      <c r="M110" s="129" t="str">
        <f t="shared" si="166"/>
        <v>17+</v>
      </c>
      <c r="N110" s="189"/>
      <c r="O110" s="132">
        <f t="shared" si="167"/>
        <v>1012</v>
      </c>
      <c r="P110" s="127">
        <f t="shared" si="168"/>
        <v>37</v>
      </c>
      <c r="Q110" s="127">
        <f t="shared" si="169"/>
        <v>36.75</v>
      </c>
      <c r="R110" s="128">
        <f t="shared" si="170"/>
        <v>148</v>
      </c>
      <c r="S110" s="130">
        <f t="shared" si="171"/>
        <v>1.4414995494685181</v>
      </c>
      <c r="T110" s="135">
        <f t="shared" si="108"/>
        <v>0</v>
      </c>
      <c r="U110" s="127">
        <f t="shared" si="109"/>
        <v>0</v>
      </c>
      <c r="V110" s="217">
        <v>0</v>
      </c>
      <c r="W110" s="191">
        <v>0</v>
      </c>
      <c r="X110" s="133">
        <v>0</v>
      </c>
      <c r="Y110" s="131">
        <f t="shared" si="110"/>
        <v>2438.5</v>
      </c>
      <c r="Z110" s="131">
        <f t="shared" si="111"/>
        <v>1076.5966513789815</v>
      </c>
      <c r="AA110" s="242">
        <f t="shared" si="112"/>
        <v>3515.0966513789817</v>
      </c>
      <c r="AB110" s="131">
        <f t="shared" si="113"/>
        <v>0</v>
      </c>
      <c r="AC110" s="131">
        <f t="shared" si="114"/>
        <v>140.60386605515927</v>
      </c>
      <c r="AD110" s="131">
        <f t="shared" si="115"/>
        <v>0</v>
      </c>
      <c r="AE110" s="131">
        <f t="shared" si="116"/>
        <v>0</v>
      </c>
      <c r="AF110" s="131">
        <f t="shared" si="117"/>
        <v>0</v>
      </c>
      <c r="AG110" s="131">
        <f t="shared" si="118"/>
        <v>0</v>
      </c>
      <c r="AH110" s="131">
        <f t="shared" si="119"/>
        <v>0</v>
      </c>
      <c r="AI110" s="131">
        <f t="shared" si="120"/>
        <v>0</v>
      </c>
      <c r="AJ110" s="131">
        <f t="shared" si="121"/>
        <v>0</v>
      </c>
      <c r="AK110" s="131"/>
      <c r="AL110" s="131">
        <f t="shared" si="122"/>
        <v>0</v>
      </c>
      <c r="AM110" s="131"/>
      <c r="AN110" s="243">
        <f t="shared" si="123"/>
        <v>0</v>
      </c>
      <c r="AO110" s="131">
        <f t="shared" si="124"/>
        <v>0</v>
      </c>
      <c r="AP110" s="131">
        <f t="shared" si="125"/>
        <v>0</v>
      </c>
      <c r="AQ110" s="131"/>
      <c r="AR110" s="131">
        <f t="shared" si="126"/>
        <v>0</v>
      </c>
      <c r="AS110" s="131">
        <f t="shared" si="172"/>
        <v>0</v>
      </c>
      <c r="AT110" s="131">
        <f t="shared" si="127"/>
        <v>0</v>
      </c>
      <c r="AU110" s="131">
        <f t="shared" si="128"/>
        <v>0</v>
      </c>
      <c r="AV110" s="131"/>
      <c r="AW110" s="131">
        <f t="shared" si="129"/>
        <v>0</v>
      </c>
      <c r="AX110" s="131">
        <f t="shared" si="183"/>
        <v>0</v>
      </c>
      <c r="AY110" s="131">
        <f t="shared" si="130"/>
        <v>0</v>
      </c>
      <c r="AZ110" s="131"/>
      <c r="BA110" s="131">
        <f t="shared" si="184"/>
        <v>0</v>
      </c>
      <c r="BB110" s="131"/>
      <c r="BC110" s="131"/>
      <c r="BD110" s="131">
        <f t="shared" si="131"/>
        <v>0</v>
      </c>
      <c r="BE110" s="131"/>
      <c r="BF110" s="131">
        <f t="shared" si="173"/>
        <v>0</v>
      </c>
      <c r="BG110" s="131">
        <f t="shared" si="174"/>
        <v>0</v>
      </c>
      <c r="BH110" s="131"/>
      <c r="BI110" s="131"/>
      <c r="BJ110" s="131"/>
      <c r="BK110" s="131">
        <f t="shared" si="175"/>
        <v>0</v>
      </c>
      <c r="BL110" s="131"/>
      <c r="BM110" s="131"/>
      <c r="BN110" s="131">
        <f t="shared" si="176"/>
        <v>0</v>
      </c>
      <c r="BO110" s="131"/>
      <c r="BP110" s="131">
        <f t="shared" si="177"/>
        <v>0</v>
      </c>
      <c r="BQ110" s="131"/>
      <c r="BR110" s="131"/>
      <c r="BS110" s="131"/>
      <c r="BT110" s="131"/>
      <c r="BU110" s="131"/>
      <c r="BV110" s="131">
        <f t="shared" si="178"/>
        <v>0</v>
      </c>
      <c r="BW110" s="131"/>
      <c r="BX110" s="131"/>
      <c r="BY110" s="131"/>
      <c r="BZ110" s="131">
        <f t="shared" si="179"/>
        <v>0</v>
      </c>
      <c r="CA110" s="131"/>
      <c r="CB110" s="136">
        <f t="shared" si="132"/>
        <v>160.55836672570746</v>
      </c>
      <c r="CC110" s="131">
        <f t="shared" si="133"/>
        <v>0</v>
      </c>
      <c r="CD110" s="136">
        <f t="shared" si="134"/>
        <v>0</v>
      </c>
      <c r="CE110" s="131">
        <f t="shared" si="182"/>
        <v>0</v>
      </c>
      <c r="CF110" s="136">
        <f t="shared" si="135"/>
        <v>0</v>
      </c>
      <c r="CG110" s="136"/>
      <c r="CH110" s="136">
        <f t="shared" si="181"/>
        <v>0</v>
      </c>
      <c r="CI110" s="131">
        <f t="shared" si="136"/>
        <v>0</v>
      </c>
      <c r="CJ110" s="131"/>
      <c r="CK110" s="136">
        <f t="shared" si="137"/>
        <v>0</v>
      </c>
      <c r="CL110" s="136">
        <f t="shared" si="138"/>
        <v>804.25411383551102</v>
      </c>
      <c r="CM110" s="131">
        <f t="shared" si="139"/>
        <v>0</v>
      </c>
      <c r="CN110" s="136">
        <f t="shared" si="140"/>
        <v>0</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f t="shared" si="146"/>
        <v>0</v>
      </c>
      <c r="DC110" s="131">
        <f t="shared" si="105"/>
        <v>0</v>
      </c>
      <c r="DD110" s="131">
        <f t="shared" si="147"/>
        <v>0</v>
      </c>
      <c r="DE110" s="131">
        <f t="shared" si="148"/>
        <v>0</v>
      </c>
      <c r="DF110" s="131">
        <f t="shared" si="149"/>
        <v>0</v>
      </c>
      <c r="DG110" s="131">
        <f t="shared" si="150"/>
        <v>0</v>
      </c>
      <c r="DH110" s="131"/>
      <c r="DI110" s="131"/>
      <c r="DJ110" s="131"/>
      <c r="DK110" s="137">
        <f t="shared" si="180"/>
        <v>4620.5129979953599</v>
      </c>
      <c r="DL110" s="227" t="e">
        <f t="shared" si="151"/>
        <v>#REF!</v>
      </c>
      <c r="DM110" s="227" t="e">
        <f t="shared" si="152"/>
        <v>#REF!</v>
      </c>
      <c r="DN110" s="228" t="e">
        <f t="shared" si="106"/>
        <v>#REF!</v>
      </c>
      <c r="DO110" s="228">
        <f t="shared" si="153"/>
        <v>194.35242757490622</v>
      </c>
      <c r="DP110" s="228" t="e">
        <f t="shared" si="154"/>
        <v>#REF!</v>
      </c>
      <c r="DQ110" s="228" t="e">
        <f t="shared" si="155"/>
        <v>#REF!</v>
      </c>
    </row>
    <row r="111" spans="1:121">
      <c r="A111" s="132">
        <f t="shared" si="107"/>
        <v>101</v>
      </c>
      <c r="B111" s="18">
        <f t="shared" si="156"/>
        <v>101</v>
      </c>
      <c r="C111" s="18">
        <f>IF(A111=0," ",VLOOKUP(B111,'tosafot '!$A$7:$B$234,2,0))</f>
        <v>5.2016</v>
      </c>
      <c r="D111" s="220">
        <f t="shared" si="157"/>
        <v>228</v>
      </c>
      <c r="E111" s="130">
        <f t="shared" si="158"/>
        <v>12.2026</v>
      </c>
      <c r="F111" s="126">
        <f t="shared" si="159"/>
        <v>22</v>
      </c>
      <c r="G111" s="18" t="str">
        <f t="shared" si="160"/>
        <v>התחבורה</v>
      </c>
      <c r="H111" s="189">
        <f t="shared" si="161"/>
        <v>122</v>
      </c>
      <c r="I111" s="18">
        <f t="shared" si="162"/>
        <v>1</v>
      </c>
      <c r="J111" s="18" t="str">
        <f t="shared" si="163"/>
        <v>מינהלי - עובדי מדינה</v>
      </c>
      <c r="K111" s="189">
        <f t="shared" si="164"/>
        <v>1</v>
      </c>
      <c r="L111" s="18">
        <f t="shared" si="165"/>
        <v>12</v>
      </c>
      <c r="M111" s="129" t="str">
        <f t="shared" si="166"/>
        <v>17+</v>
      </c>
      <c r="N111" s="189"/>
      <c r="O111" s="132">
        <f t="shared" si="167"/>
        <v>1012</v>
      </c>
      <c r="P111" s="127">
        <f t="shared" si="168"/>
        <v>37</v>
      </c>
      <c r="Q111" s="127">
        <f t="shared" si="169"/>
        <v>36.75</v>
      </c>
      <c r="R111" s="128">
        <f t="shared" si="170"/>
        <v>148</v>
      </c>
      <c r="S111" s="130">
        <f t="shared" si="171"/>
        <v>1.4414995494685181</v>
      </c>
      <c r="T111" s="135">
        <f t="shared" si="108"/>
        <v>0</v>
      </c>
      <c r="U111" s="127">
        <f t="shared" si="109"/>
        <v>0</v>
      </c>
      <c r="V111" s="217">
        <v>0</v>
      </c>
      <c r="W111" s="191">
        <v>0</v>
      </c>
      <c r="X111" s="133">
        <v>0</v>
      </c>
      <c r="Y111" s="131">
        <f t="shared" si="110"/>
        <v>2438.5</v>
      </c>
      <c r="Z111" s="131">
        <f t="shared" si="111"/>
        <v>1076.5966513789815</v>
      </c>
      <c r="AA111" s="242">
        <f t="shared" si="112"/>
        <v>3515.0966513789817</v>
      </c>
      <c r="AB111" s="131">
        <f t="shared" si="113"/>
        <v>0</v>
      </c>
      <c r="AC111" s="131">
        <f t="shared" si="114"/>
        <v>140.60386605515927</v>
      </c>
      <c r="AD111" s="131">
        <f t="shared" si="115"/>
        <v>0</v>
      </c>
      <c r="AE111" s="131">
        <f t="shared" si="116"/>
        <v>0</v>
      </c>
      <c r="AF111" s="131">
        <f t="shared" si="117"/>
        <v>0</v>
      </c>
      <c r="AG111" s="131">
        <f t="shared" si="118"/>
        <v>0</v>
      </c>
      <c r="AH111" s="131">
        <f t="shared" si="119"/>
        <v>0</v>
      </c>
      <c r="AI111" s="131">
        <f t="shared" si="120"/>
        <v>0</v>
      </c>
      <c r="AJ111" s="131">
        <f t="shared" si="121"/>
        <v>0</v>
      </c>
      <c r="AK111" s="131"/>
      <c r="AL111" s="131">
        <f t="shared" si="122"/>
        <v>0</v>
      </c>
      <c r="AM111" s="131"/>
      <c r="AN111" s="243">
        <f t="shared" si="123"/>
        <v>0</v>
      </c>
      <c r="AO111" s="131">
        <f t="shared" si="124"/>
        <v>0</v>
      </c>
      <c r="AP111" s="131">
        <f t="shared" si="125"/>
        <v>0</v>
      </c>
      <c r="AQ111" s="131"/>
      <c r="AR111" s="131">
        <f t="shared" si="126"/>
        <v>0</v>
      </c>
      <c r="AS111" s="131">
        <f t="shared" si="172"/>
        <v>0</v>
      </c>
      <c r="AT111" s="131">
        <f t="shared" si="127"/>
        <v>0</v>
      </c>
      <c r="AU111" s="131">
        <f t="shared" si="128"/>
        <v>0</v>
      </c>
      <c r="AV111" s="131"/>
      <c r="AW111" s="131">
        <f t="shared" si="129"/>
        <v>0</v>
      </c>
      <c r="AX111" s="131">
        <f t="shared" si="183"/>
        <v>0</v>
      </c>
      <c r="AY111" s="131">
        <f t="shared" si="130"/>
        <v>0</v>
      </c>
      <c r="AZ111" s="131"/>
      <c r="BA111" s="131">
        <f t="shared" si="184"/>
        <v>0</v>
      </c>
      <c r="BB111" s="131"/>
      <c r="BC111" s="131"/>
      <c r="BD111" s="131">
        <f t="shared" si="131"/>
        <v>0</v>
      </c>
      <c r="BE111" s="131"/>
      <c r="BF111" s="131">
        <f t="shared" si="173"/>
        <v>0</v>
      </c>
      <c r="BG111" s="131">
        <f t="shared" si="174"/>
        <v>0</v>
      </c>
      <c r="BH111" s="131"/>
      <c r="BI111" s="131"/>
      <c r="BJ111" s="131"/>
      <c r="BK111" s="131">
        <f t="shared" si="175"/>
        <v>0</v>
      </c>
      <c r="BL111" s="131"/>
      <c r="BM111" s="131"/>
      <c r="BN111" s="131">
        <f t="shared" si="176"/>
        <v>0</v>
      </c>
      <c r="BO111" s="131"/>
      <c r="BP111" s="131">
        <f t="shared" si="177"/>
        <v>0</v>
      </c>
      <c r="BQ111" s="131"/>
      <c r="BR111" s="131"/>
      <c r="BS111" s="131"/>
      <c r="BT111" s="131"/>
      <c r="BU111" s="131"/>
      <c r="BV111" s="131">
        <f t="shared" si="178"/>
        <v>0</v>
      </c>
      <c r="BW111" s="131"/>
      <c r="BX111" s="131"/>
      <c r="BY111" s="131"/>
      <c r="BZ111" s="131">
        <f t="shared" si="179"/>
        <v>0</v>
      </c>
      <c r="CA111" s="131"/>
      <c r="CB111" s="136">
        <f t="shared" si="132"/>
        <v>160.55836672570746</v>
      </c>
      <c r="CC111" s="131">
        <f t="shared" si="133"/>
        <v>0</v>
      </c>
      <c r="CD111" s="136">
        <f t="shared" si="134"/>
        <v>0</v>
      </c>
      <c r="CE111" s="131">
        <f t="shared" si="182"/>
        <v>0</v>
      </c>
      <c r="CF111" s="136">
        <f t="shared" si="135"/>
        <v>0</v>
      </c>
      <c r="CG111" s="136"/>
      <c r="CH111" s="136">
        <f t="shared" si="181"/>
        <v>0</v>
      </c>
      <c r="CI111" s="131">
        <f t="shared" si="136"/>
        <v>0</v>
      </c>
      <c r="CJ111" s="131"/>
      <c r="CK111" s="136">
        <f t="shared" si="137"/>
        <v>0</v>
      </c>
      <c r="CL111" s="136">
        <f t="shared" si="138"/>
        <v>804.25411383551102</v>
      </c>
      <c r="CM111" s="131">
        <f t="shared" si="139"/>
        <v>0</v>
      </c>
      <c r="CN111" s="136">
        <f t="shared" si="140"/>
        <v>0</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f t="shared" si="146"/>
        <v>0</v>
      </c>
      <c r="DC111" s="131">
        <f t="shared" si="105"/>
        <v>0</v>
      </c>
      <c r="DD111" s="131">
        <f t="shared" si="147"/>
        <v>0</v>
      </c>
      <c r="DE111" s="131">
        <f t="shared" si="148"/>
        <v>0</v>
      </c>
      <c r="DF111" s="131">
        <f t="shared" si="149"/>
        <v>0</v>
      </c>
      <c r="DG111" s="131">
        <f t="shared" si="150"/>
        <v>0</v>
      </c>
      <c r="DH111" s="131"/>
      <c r="DI111" s="131"/>
      <c r="DJ111" s="131"/>
      <c r="DK111" s="137">
        <f t="shared" si="180"/>
        <v>4620.5129979953599</v>
      </c>
      <c r="DL111" s="227" t="e">
        <f t="shared" si="151"/>
        <v>#REF!</v>
      </c>
      <c r="DM111" s="227" t="e">
        <f t="shared" si="152"/>
        <v>#REF!</v>
      </c>
      <c r="DN111" s="228" t="e">
        <f t="shared" si="106"/>
        <v>#REF!</v>
      </c>
      <c r="DO111" s="228">
        <f t="shared" si="153"/>
        <v>194.35242757490622</v>
      </c>
      <c r="DP111" s="228" t="e">
        <f t="shared" si="154"/>
        <v>#REF!</v>
      </c>
      <c r="DQ111" s="228" t="e">
        <f t="shared" si="155"/>
        <v>#REF!</v>
      </c>
    </row>
    <row r="112" spans="1:121">
      <c r="A112" s="132">
        <f t="shared" si="107"/>
        <v>102</v>
      </c>
      <c r="B112" s="18">
        <f t="shared" si="156"/>
        <v>102</v>
      </c>
      <c r="C112" s="18">
        <f>IF(A112=0," ",VLOOKUP(B112,'tosafot '!$A$7:$B$234,2,0))</f>
        <v>6.2016</v>
      </c>
      <c r="D112" s="220">
        <f t="shared" si="157"/>
        <v>228</v>
      </c>
      <c r="E112" s="130">
        <f t="shared" si="158"/>
        <v>12.2026</v>
      </c>
      <c r="F112" s="126">
        <f t="shared" si="159"/>
        <v>22</v>
      </c>
      <c r="G112" s="18" t="str">
        <f t="shared" si="160"/>
        <v>התחבורה</v>
      </c>
      <c r="H112" s="189">
        <f t="shared" si="161"/>
        <v>122</v>
      </c>
      <c r="I112" s="18">
        <f t="shared" si="162"/>
        <v>1</v>
      </c>
      <c r="J112" s="18" t="str">
        <f t="shared" si="163"/>
        <v>מינהלי - עובדי מדינה</v>
      </c>
      <c r="K112" s="189">
        <f t="shared" si="164"/>
        <v>1</v>
      </c>
      <c r="L112" s="18">
        <f t="shared" si="165"/>
        <v>12</v>
      </c>
      <c r="M112" s="129" t="str">
        <f t="shared" si="166"/>
        <v>17+</v>
      </c>
      <c r="N112" s="189"/>
      <c r="O112" s="132">
        <f t="shared" si="167"/>
        <v>1012</v>
      </c>
      <c r="P112" s="127">
        <f t="shared" si="168"/>
        <v>37</v>
      </c>
      <c r="Q112" s="127">
        <f t="shared" si="169"/>
        <v>36.75</v>
      </c>
      <c r="R112" s="128">
        <f t="shared" si="170"/>
        <v>148</v>
      </c>
      <c r="S112" s="130">
        <f t="shared" si="171"/>
        <v>1.4414995494685181</v>
      </c>
      <c r="T112" s="135">
        <f t="shared" si="108"/>
        <v>0</v>
      </c>
      <c r="U112" s="127">
        <f t="shared" si="109"/>
        <v>0</v>
      </c>
      <c r="V112" s="217">
        <v>0</v>
      </c>
      <c r="W112" s="191">
        <v>0</v>
      </c>
      <c r="X112" s="133">
        <v>0</v>
      </c>
      <c r="Y112" s="131">
        <f t="shared" si="110"/>
        <v>2438.5</v>
      </c>
      <c r="Z112" s="131">
        <f t="shared" si="111"/>
        <v>1076.5966513789815</v>
      </c>
      <c r="AA112" s="242">
        <f t="shared" si="112"/>
        <v>3515.0966513789817</v>
      </c>
      <c r="AB112" s="131">
        <f t="shared" si="113"/>
        <v>0</v>
      </c>
      <c r="AC112" s="131">
        <f t="shared" si="114"/>
        <v>140.60386605515927</v>
      </c>
      <c r="AD112" s="131">
        <f t="shared" si="115"/>
        <v>0</v>
      </c>
      <c r="AE112" s="131">
        <f t="shared" si="116"/>
        <v>0</v>
      </c>
      <c r="AF112" s="131">
        <f t="shared" si="117"/>
        <v>0</v>
      </c>
      <c r="AG112" s="131">
        <f t="shared" si="118"/>
        <v>0</v>
      </c>
      <c r="AH112" s="131">
        <f t="shared" si="119"/>
        <v>0</v>
      </c>
      <c r="AI112" s="131">
        <f t="shared" si="120"/>
        <v>0</v>
      </c>
      <c r="AJ112" s="131">
        <f t="shared" si="121"/>
        <v>0</v>
      </c>
      <c r="AK112" s="131"/>
      <c r="AL112" s="131">
        <f t="shared" si="122"/>
        <v>0</v>
      </c>
      <c r="AM112" s="131"/>
      <c r="AN112" s="243">
        <f t="shared" si="123"/>
        <v>0</v>
      </c>
      <c r="AO112" s="131">
        <f t="shared" si="124"/>
        <v>0</v>
      </c>
      <c r="AP112" s="131">
        <f t="shared" si="125"/>
        <v>0</v>
      </c>
      <c r="AQ112" s="131"/>
      <c r="AR112" s="131">
        <f t="shared" si="126"/>
        <v>0</v>
      </c>
      <c r="AS112" s="131">
        <f t="shared" si="172"/>
        <v>0</v>
      </c>
      <c r="AT112" s="131">
        <f t="shared" si="127"/>
        <v>0</v>
      </c>
      <c r="AU112" s="131">
        <f t="shared" si="128"/>
        <v>0</v>
      </c>
      <c r="AV112" s="131"/>
      <c r="AW112" s="131">
        <f t="shared" si="129"/>
        <v>0</v>
      </c>
      <c r="AX112" s="131">
        <f t="shared" si="183"/>
        <v>0</v>
      </c>
      <c r="AY112" s="131">
        <f t="shared" si="130"/>
        <v>0</v>
      </c>
      <c r="AZ112" s="131"/>
      <c r="BA112" s="131">
        <f t="shared" si="184"/>
        <v>0</v>
      </c>
      <c r="BB112" s="131"/>
      <c r="BC112" s="131"/>
      <c r="BD112" s="131">
        <f t="shared" si="131"/>
        <v>0</v>
      </c>
      <c r="BE112" s="131"/>
      <c r="BF112" s="131">
        <f t="shared" si="173"/>
        <v>0</v>
      </c>
      <c r="BG112" s="131">
        <f t="shared" si="174"/>
        <v>0</v>
      </c>
      <c r="BH112" s="131"/>
      <c r="BI112" s="131"/>
      <c r="BJ112" s="131"/>
      <c r="BK112" s="131">
        <f t="shared" si="175"/>
        <v>0</v>
      </c>
      <c r="BL112" s="131"/>
      <c r="BM112" s="131"/>
      <c r="BN112" s="131">
        <f t="shared" si="176"/>
        <v>0</v>
      </c>
      <c r="BO112" s="131"/>
      <c r="BP112" s="131">
        <f t="shared" si="177"/>
        <v>0</v>
      </c>
      <c r="BQ112" s="131"/>
      <c r="BR112" s="131"/>
      <c r="BS112" s="131"/>
      <c r="BT112" s="131"/>
      <c r="BU112" s="131"/>
      <c r="BV112" s="131">
        <f t="shared" si="178"/>
        <v>0</v>
      </c>
      <c r="BW112" s="131"/>
      <c r="BX112" s="131"/>
      <c r="BY112" s="131"/>
      <c r="BZ112" s="131">
        <f t="shared" si="179"/>
        <v>0</v>
      </c>
      <c r="CA112" s="131"/>
      <c r="CB112" s="136">
        <f t="shared" si="132"/>
        <v>160.55836672570746</v>
      </c>
      <c r="CC112" s="131">
        <f t="shared" si="133"/>
        <v>0</v>
      </c>
      <c r="CD112" s="136">
        <f t="shared" si="134"/>
        <v>0</v>
      </c>
      <c r="CE112" s="131">
        <f t="shared" si="182"/>
        <v>0</v>
      </c>
      <c r="CF112" s="136">
        <f t="shared" si="135"/>
        <v>0</v>
      </c>
      <c r="CG112" s="136"/>
      <c r="CH112" s="136">
        <f t="shared" si="181"/>
        <v>0</v>
      </c>
      <c r="CI112" s="131">
        <f t="shared" si="136"/>
        <v>0</v>
      </c>
      <c r="CJ112" s="131"/>
      <c r="CK112" s="136">
        <f t="shared" si="137"/>
        <v>0</v>
      </c>
      <c r="CL112" s="136">
        <f t="shared" si="138"/>
        <v>804.25411383551102</v>
      </c>
      <c r="CM112" s="131">
        <f t="shared" si="139"/>
        <v>0</v>
      </c>
      <c r="CN112" s="136">
        <f t="shared" si="140"/>
        <v>0</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f t="shared" si="146"/>
        <v>0</v>
      </c>
      <c r="DC112" s="131">
        <f t="shared" si="105"/>
        <v>0</v>
      </c>
      <c r="DD112" s="131">
        <f t="shared" si="147"/>
        <v>0</v>
      </c>
      <c r="DE112" s="131">
        <f t="shared" si="148"/>
        <v>0</v>
      </c>
      <c r="DF112" s="131">
        <f t="shared" si="149"/>
        <v>0</v>
      </c>
      <c r="DG112" s="131">
        <f t="shared" si="150"/>
        <v>0</v>
      </c>
      <c r="DH112" s="131"/>
      <c r="DI112" s="131"/>
      <c r="DJ112" s="131"/>
      <c r="DK112" s="137">
        <f t="shared" si="180"/>
        <v>4620.5129979953599</v>
      </c>
      <c r="DL112" s="227" t="e">
        <f t="shared" si="151"/>
        <v>#REF!</v>
      </c>
      <c r="DM112" s="227" t="e">
        <f t="shared" si="152"/>
        <v>#REF!</v>
      </c>
      <c r="DN112" s="228" t="e">
        <f t="shared" si="106"/>
        <v>#REF!</v>
      </c>
      <c r="DO112" s="228">
        <f t="shared" si="153"/>
        <v>194.35242757490622</v>
      </c>
      <c r="DP112" s="228" t="e">
        <f t="shared" si="154"/>
        <v>#REF!</v>
      </c>
      <c r="DQ112" s="228" t="e">
        <f t="shared" si="155"/>
        <v>#REF!</v>
      </c>
    </row>
    <row r="113" spans="1:121">
      <c r="A113" s="132">
        <f t="shared" si="107"/>
        <v>103</v>
      </c>
      <c r="B113" s="18">
        <f t="shared" si="156"/>
        <v>103</v>
      </c>
      <c r="C113" s="18">
        <f>IF(A113=0," ",VLOOKUP(B113,'tosafot '!$A$7:$B$234,2,0))</f>
        <v>7.2016</v>
      </c>
      <c r="D113" s="220">
        <f t="shared" si="157"/>
        <v>228</v>
      </c>
      <c r="E113" s="130">
        <f t="shared" si="158"/>
        <v>12.2026</v>
      </c>
      <c r="F113" s="126">
        <f t="shared" si="159"/>
        <v>22</v>
      </c>
      <c r="G113" s="18" t="str">
        <f t="shared" si="160"/>
        <v>התחבורה</v>
      </c>
      <c r="H113" s="189">
        <f t="shared" si="161"/>
        <v>122</v>
      </c>
      <c r="I113" s="18">
        <f t="shared" si="162"/>
        <v>1</v>
      </c>
      <c r="J113" s="18" t="str">
        <f t="shared" si="163"/>
        <v>מינהלי - עובדי מדינה</v>
      </c>
      <c r="K113" s="189">
        <f t="shared" si="164"/>
        <v>1</v>
      </c>
      <c r="L113" s="18">
        <f t="shared" si="165"/>
        <v>12</v>
      </c>
      <c r="M113" s="129" t="str">
        <f t="shared" si="166"/>
        <v>17+</v>
      </c>
      <c r="N113" s="189"/>
      <c r="O113" s="132">
        <f t="shared" si="167"/>
        <v>1012</v>
      </c>
      <c r="P113" s="127">
        <f t="shared" si="168"/>
        <v>37</v>
      </c>
      <c r="Q113" s="127">
        <f t="shared" si="169"/>
        <v>36.75</v>
      </c>
      <c r="R113" s="128">
        <f t="shared" si="170"/>
        <v>148</v>
      </c>
      <c r="S113" s="130">
        <f t="shared" si="171"/>
        <v>1.4414995494685181</v>
      </c>
      <c r="T113" s="135">
        <f t="shared" si="108"/>
        <v>0</v>
      </c>
      <c r="U113" s="127">
        <f t="shared" si="109"/>
        <v>0</v>
      </c>
      <c r="V113" s="217">
        <v>0</v>
      </c>
      <c r="W113" s="191">
        <v>0</v>
      </c>
      <c r="X113" s="133">
        <v>0</v>
      </c>
      <c r="Y113" s="131">
        <f t="shared" si="110"/>
        <v>2438.5</v>
      </c>
      <c r="Z113" s="131">
        <f t="shared" si="111"/>
        <v>1076.5966513789815</v>
      </c>
      <c r="AA113" s="242">
        <f t="shared" si="112"/>
        <v>3515.0966513789817</v>
      </c>
      <c r="AB113" s="131">
        <f t="shared" si="113"/>
        <v>0</v>
      </c>
      <c r="AC113" s="131">
        <f t="shared" si="114"/>
        <v>140.60386605515927</v>
      </c>
      <c r="AD113" s="131">
        <f t="shared" si="115"/>
        <v>0</v>
      </c>
      <c r="AE113" s="131">
        <f t="shared" si="116"/>
        <v>0</v>
      </c>
      <c r="AF113" s="131">
        <f t="shared" si="117"/>
        <v>0</v>
      </c>
      <c r="AG113" s="131">
        <f t="shared" si="118"/>
        <v>0</v>
      </c>
      <c r="AH113" s="131">
        <f t="shared" si="119"/>
        <v>0</v>
      </c>
      <c r="AI113" s="131">
        <f t="shared" si="120"/>
        <v>0</v>
      </c>
      <c r="AJ113" s="131">
        <f t="shared" si="121"/>
        <v>0</v>
      </c>
      <c r="AK113" s="131"/>
      <c r="AL113" s="131">
        <f t="shared" si="122"/>
        <v>0</v>
      </c>
      <c r="AM113" s="131"/>
      <c r="AN113" s="243">
        <f t="shared" si="123"/>
        <v>0</v>
      </c>
      <c r="AO113" s="131">
        <f t="shared" si="124"/>
        <v>0</v>
      </c>
      <c r="AP113" s="131">
        <f t="shared" si="125"/>
        <v>0</v>
      </c>
      <c r="AQ113" s="131"/>
      <c r="AR113" s="131">
        <f t="shared" si="126"/>
        <v>0</v>
      </c>
      <c r="AS113" s="131">
        <f t="shared" si="172"/>
        <v>0</v>
      </c>
      <c r="AT113" s="131">
        <f t="shared" si="127"/>
        <v>0</v>
      </c>
      <c r="AU113" s="131">
        <f t="shared" si="128"/>
        <v>0</v>
      </c>
      <c r="AV113" s="131"/>
      <c r="AW113" s="131">
        <f t="shared" si="129"/>
        <v>0</v>
      </c>
      <c r="AX113" s="131">
        <f t="shared" si="183"/>
        <v>0</v>
      </c>
      <c r="AY113" s="131">
        <f t="shared" si="130"/>
        <v>0</v>
      </c>
      <c r="AZ113" s="131"/>
      <c r="BA113" s="131">
        <f t="shared" si="184"/>
        <v>0</v>
      </c>
      <c r="BB113" s="131"/>
      <c r="BC113" s="131"/>
      <c r="BD113" s="131">
        <f t="shared" si="131"/>
        <v>0</v>
      </c>
      <c r="BE113" s="131"/>
      <c r="BF113" s="131">
        <f t="shared" si="173"/>
        <v>0</v>
      </c>
      <c r="BG113" s="131">
        <f t="shared" si="174"/>
        <v>0</v>
      </c>
      <c r="BH113" s="131"/>
      <c r="BI113" s="131"/>
      <c r="BJ113" s="131"/>
      <c r="BK113" s="131">
        <f t="shared" si="175"/>
        <v>0</v>
      </c>
      <c r="BL113" s="131"/>
      <c r="BM113" s="131"/>
      <c r="BN113" s="131">
        <f t="shared" si="176"/>
        <v>0</v>
      </c>
      <c r="BO113" s="131"/>
      <c r="BP113" s="131">
        <f t="shared" si="177"/>
        <v>0</v>
      </c>
      <c r="BQ113" s="131"/>
      <c r="BR113" s="131"/>
      <c r="BS113" s="131"/>
      <c r="BT113" s="131"/>
      <c r="BU113" s="131"/>
      <c r="BV113" s="131">
        <f t="shared" si="178"/>
        <v>0</v>
      </c>
      <c r="BW113" s="131"/>
      <c r="BX113" s="131"/>
      <c r="BY113" s="131"/>
      <c r="BZ113" s="131">
        <f t="shared" si="179"/>
        <v>0</v>
      </c>
      <c r="CA113" s="131"/>
      <c r="CB113" s="136">
        <f t="shared" si="132"/>
        <v>160.55836672570746</v>
      </c>
      <c r="CC113" s="131">
        <f t="shared" si="133"/>
        <v>0</v>
      </c>
      <c r="CD113" s="136">
        <f t="shared" si="134"/>
        <v>0</v>
      </c>
      <c r="CE113" s="131">
        <f t="shared" si="182"/>
        <v>0</v>
      </c>
      <c r="CF113" s="136">
        <f t="shared" si="135"/>
        <v>0</v>
      </c>
      <c r="CG113" s="136"/>
      <c r="CH113" s="136">
        <f t="shared" si="181"/>
        <v>0</v>
      </c>
      <c r="CI113" s="131">
        <f t="shared" si="136"/>
        <v>0</v>
      </c>
      <c r="CJ113" s="131"/>
      <c r="CK113" s="136">
        <f t="shared" si="137"/>
        <v>0</v>
      </c>
      <c r="CL113" s="136">
        <f t="shared" si="138"/>
        <v>804.25411383551102</v>
      </c>
      <c r="CM113" s="131">
        <f t="shared" si="139"/>
        <v>0</v>
      </c>
      <c r="CN113" s="136">
        <f t="shared" si="140"/>
        <v>0</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f t="shared" si="146"/>
        <v>0</v>
      </c>
      <c r="DC113" s="131">
        <f t="shared" si="105"/>
        <v>0</v>
      </c>
      <c r="DD113" s="131">
        <f t="shared" si="147"/>
        <v>0</v>
      </c>
      <c r="DE113" s="131">
        <f t="shared" si="148"/>
        <v>0</v>
      </c>
      <c r="DF113" s="131">
        <f t="shared" si="149"/>
        <v>0</v>
      </c>
      <c r="DG113" s="131">
        <f t="shared" si="150"/>
        <v>0</v>
      </c>
      <c r="DH113" s="131"/>
      <c r="DI113" s="131"/>
      <c r="DJ113" s="131"/>
      <c r="DK113" s="137">
        <f t="shared" si="180"/>
        <v>4620.5129979953599</v>
      </c>
      <c r="DL113" s="227" t="e">
        <f t="shared" si="151"/>
        <v>#REF!</v>
      </c>
      <c r="DM113" s="227" t="e">
        <f t="shared" si="152"/>
        <v>#REF!</v>
      </c>
      <c r="DN113" s="228" t="e">
        <f t="shared" si="106"/>
        <v>#REF!</v>
      </c>
      <c r="DO113" s="228">
        <f t="shared" si="153"/>
        <v>194.35242757490622</v>
      </c>
      <c r="DP113" s="228" t="e">
        <f t="shared" si="154"/>
        <v>#REF!</v>
      </c>
      <c r="DQ113" s="228" t="e">
        <f t="shared" si="155"/>
        <v>#REF!</v>
      </c>
    </row>
    <row r="114" spans="1:121">
      <c r="A114" s="132">
        <f t="shared" si="107"/>
        <v>104</v>
      </c>
      <c r="B114" s="18">
        <f t="shared" si="156"/>
        <v>104</v>
      </c>
      <c r="C114" s="18">
        <f>IF(A114=0," ",VLOOKUP(B114,'tosafot '!$A$7:$B$234,2,0))</f>
        <v>8.2015999999999991</v>
      </c>
      <c r="D114" s="220">
        <f t="shared" si="157"/>
        <v>228</v>
      </c>
      <c r="E114" s="130">
        <f t="shared" si="158"/>
        <v>12.2026</v>
      </c>
      <c r="F114" s="126">
        <f t="shared" si="159"/>
        <v>22</v>
      </c>
      <c r="G114" s="18" t="str">
        <f t="shared" si="160"/>
        <v>התחבורה</v>
      </c>
      <c r="H114" s="189">
        <f t="shared" si="161"/>
        <v>122</v>
      </c>
      <c r="I114" s="18">
        <f t="shared" si="162"/>
        <v>1</v>
      </c>
      <c r="J114" s="18" t="str">
        <f t="shared" si="163"/>
        <v>מינהלי - עובדי מדינה</v>
      </c>
      <c r="K114" s="189">
        <f t="shared" si="164"/>
        <v>1</v>
      </c>
      <c r="L114" s="18">
        <f t="shared" si="165"/>
        <v>12</v>
      </c>
      <c r="M114" s="129" t="str">
        <f t="shared" si="166"/>
        <v>17+</v>
      </c>
      <c r="N114" s="189"/>
      <c r="O114" s="132">
        <f t="shared" si="167"/>
        <v>1012</v>
      </c>
      <c r="P114" s="127">
        <f t="shared" si="168"/>
        <v>37</v>
      </c>
      <c r="Q114" s="127">
        <f t="shared" si="169"/>
        <v>36.75</v>
      </c>
      <c r="R114" s="128">
        <f t="shared" si="170"/>
        <v>148</v>
      </c>
      <c r="S114" s="130">
        <f t="shared" si="171"/>
        <v>1.4414995494685181</v>
      </c>
      <c r="T114" s="135">
        <f t="shared" si="108"/>
        <v>0</v>
      </c>
      <c r="U114" s="127">
        <f t="shared" si="109"/>
        <v>0</v>
      </c>
      <c r="V114" s="217">
        <v>0</v>
      </c>
      <c r="W114" s="191">
        <v>0</v>
      </c>
      <c r="X114" s="133">
        <v>0</v>
      </c>
      <c r="Y114" s="131">
        <f t="shared" si="110"/>
        <v>2438.5</v>
      </c>
      <c r="Z114" s="131">
        <f t="shared" si="111"/>
        <v>1076.5966513789815</v>
      </c>
      <c r="AA114" s="242">
        <f t="shared" si="112"/>
        <v>3515.0966513789817</v>
      </c>
      <c r="AB114" s="131">
        <f t="shared" si="113"/>
        <v>0</v>
      </c>
      <c r="AC114" s="131">
        <f t="shared" si="114"/>
        <v>140.60386605515927</v>
      </c>
      <c r="AD114" s="131">
        <f t="shared" si="115"/>
        <v>0</v>
      </c>
      <c r="AE114" s="131">
        <f t="shared" si="116"/>
        <v>0</v>
      </c>
      <c r="AF114" s="131">
        <f t="shared" si="117"/>
        <v>0</v>
      </c>
      <c r="AG114" s="131">
        <f t="shared" si="118"/>
        <v>0</v>
      </c>
      <c r="AH114" s="131">
        <f t="shared" si="119"/>
        <v>0</v>
      </c>
      <c r="AI114" s="131">
        <f t="shared" si="120"/>
        <v>0</v>
      </c>
      <c r="AJ114" s="131">
        <f t="shared" si="121"/>
        <v>0</v>
      </c>
      <c r="AK114" s="131"/>
      <c r="AL114" s="131">
        <f t="shared" si="122"/>
        <v>0</v>
      </c>
      <c r="AM114" s="131"/>
      <c r="AN114" s="243">
        <f t="shared" si="123"/>
        <v>0</v>
      </c>
      <c r="AO114" s="131">
        <f t="shared" si="124"/>
        <v>0</v>
      </c>
      <c r="AP114" s="131">
        <f t="shared" si="125"/>
        <v>0</v>
      </c>
      <c r="AQ114" s="131"/>
      <c r="AR114" s="131">
        <f t="shared" si="126"/>
        <v>0</v>
      </c>
      <c r="AS114" s="131">
        <f t="shared" si="172"/>
        <v>0</v>
      </c>
      <c r="AT114" s="131">
        <f t="shared" si="127"/>
        <v>0</v>
      </c>
      <c r="AU114" s="131">
        <f t="shared" si="128"/>
        <v>0</v>
      </c>
      <c r="AV114" s="131"/>
      <c r="AW114" s="131">
        <f t="shared" si="129"/>
        <v>0</v>
      </c>
      <c r="AX114" s="131">
        <f t="shared" si="183"/>
        <v>0</v>
      </c>
      <c r="AY114" s="131">
        <f t="shared" si="130"/>
        <v>0</v>
      </c>
      <c r="AZ114" s="131"/>
      <c r="BA114" s="131">
        <f t="shared" si="184"/>
        <v>0</v>
      </c>
      <c r="BB114" s="131"/>
      <c r="BC114" s="131"/>
      <c r="BD114" s="131">
        <f t="shared" si="131"/>
        <v>0</v>
      </c>
      <c r="BE114" s="131"/>
      <c r="BF114" s="131">
        <f t="shared" si="173"/>
        <v>0</v>
      </c>
      <c r="BG114" s="131">
        <f t="shared" si="174"/>
        <v>0</v>
      </c>
      <c r="BH114" s="131"/>
      <c r="BI114" s="131"/>
      <c r="BJ114" s="131"/>
      <c r="BK114" s="131">
        <f t="shared" si="175"/>
        <v>0</v>
      </c>
      <c r="BL114" s="131"/>
      <c r="BM114" s="131"/>
      <c r="BN114" s="131">
        <f t="shared" si="176"/>
        <v>0</v>
      </c>
      <c r="BO114" s="131"/>
      <c r="BP114" s="131">
        <f t="shared" si="177"/>
        <v>0</v>
      </c>
      <c r="BQ114" s="131"/>
      <c r="BR114" s="131"/>
      <c r="BS114" s="131"/>
      <c r="BT114" s="131"/>
      <c r="BU114" s="131"/>
      <c r="BV114" s="131">
        <f t="shared" si="178"/>
        <v>0</v>
      </c>
      <c r="BW114" s="131"/>
      <c r="BX114" s="131"/>
      <c r="BY114" s="131"/>
      <c r="BZ114" s="131">
        <f t="shared" si="179"/>
        <v>0</v>
      </c>
      <c r="CA114" s="131"/>
      <c r="CB114" s="136">
        <f t="shared" si="132"/>
        <v>160.55836672570746</v>
      </c>
      <c r="CC114" s="131">
        <f t="shared" si="133"/>
        <v>0</v>
      </c>
      <c r="CD114" s="136">
        <f t="shared" si="134"/>
        <v>0</v>
      </c>
      <c r="CE114" s="131">
        <f t="shared" si="182"/>
        <v>0</v>
      </c>
      <c r="CF114" s="136">
        <f t="shared" si="135"/>
        <v>0</v>
      </c>
      <c r="CG114" s="136"/>
      <c r="CH114" s="136">
        <f t="shared" si="181"/>
        <v>0</v>
      </c>
      <c r="CI114" s="131">
        <f t="shared" si="136"/>
        <v>0</v>
      </c>
      <c r="CJ114" s="131"/>
      <c r="CK114" s="136">
        <f t="shared" si="137"/>
        <v>0</v>
      </c>
      <c r="CL114" s="136">
        <f t="shared" si="138"/>
        <v>804.25411383551102</v>
      </c>
      <c r="CM114" s="131">
        <f t="shared" si="139"/>
        <v>0</v>
      </c>
      <c r="CN114" s="136">
        <f t="shared" si="140"/>
        <v>0</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f t="shared" si="146"/>
        <v>0</v>
      </c>
      <c r="DC114" s="131">
        <f t="shared" si="105"/>
        <v>0</v>
      </c>
      <c r="DD114" s="131">
        <f t="shared" si="147"/>
        <v>0</v>
      </c>
      <c r="DE114" s="131">
        <f t="shared" si="148"/>
        <v>0</v>
      </c>
      <c r="DF114" s="131">
        <f t="shared" si="149"/>
        <v>0</v>
      </c>
      <c r="DG114" s="131">
        <f t="shared" si="150"/>
        <v>0</v>
      </c>
      <c r="DH114" s="131"/>
      <c r="DI114" s="131"/>
      <c r="DJ114" s="131"/>
      <c r="DK114" s="137">
        <f t="shared" si="180"/>
        <v>4620.5129979953599</v>
      </c>
      <c r="DL114" s="227" t="e">
        <f t="shared" si="151"/>
        <v>#REF!</v>
      </c>
      <c r="DM114" s="227" t="e">
        <f t="shared" si="152"/>
        <v>#REF!</v>
      </c>
      <c r="DN114" s="228" t="e">
        <f t="shared" si="106"/>
        <v>#REF!</v>
      </c>
      <c r="DO114" s="228">
        <f t="shared" si="153"/>
        <v>194.35242757490622</v>
      </c>
      <c r="DP114" s="228" t="e">
        <f t="shared" si="154"/>
        <v>#REF!</v>
      </c>
      <c r="DQ114" s="228" t="e">
        <f t="shared" si="155"/>
        <v>#REF!</v>
      </c>
    </row>
    <row r="115" spans="1:121">
      <c r="A115" s="132">
        <f t="shared" si="107"/>
        <v>105</v>
      </c>
      <c r="B115" s="18">
        <f t="shared" si="156"/>
        <v>105</v>
      </c>
      <c r="C115" s="18">
        <f>IF(A115=0," ",VLOOKUP(B115,'tosafot '!$A$7:$B$234,2,0))</f>
        <v>9.2015999999999991</v>
      </c>
      <c r="D115" s="220">
        <f t="shared" si="157"/>
        <v>228</v>
      </c>
      <c r="E115" s="130">
        <f t="shared" si="158"/>
        <v>12.2026</v>
      </c>
      <c r="F115" s="126">
        <f t="shared" si="159"/>
        <v>22</v>
      </c>
      <c r="G115" s="18" t="str">
        <f t="shared" si="160"/>
        <v>התחבורה</v>
      </c>
      <c r="H115" s="189">
        <f t="shared" si="161"/>
        <v>122</v>
      </c>
      <c r="I115" s="18">
        <f t="shared" si="162"/>
        <v>1</v>
      </c>
      <c r="J115" s="18" t="str">
        <f t="shared" si="163"/>
        <v>מינהלי - עובדי מדינה</v>
      </c>
      <c r="K115" s="189">
        <f t="shared" si="164"/>
        <v>1</v>
      </c>
      <c r="L115" s="18">
        <f t="shared" si="165"/>
        <v>12</v>
      </c>
      <c r="M115" s="129" t="str">
        <f t="shared" si="166"/>
        <v>17+</v>
      </c>
      <c r="N115" s="189"/>
      <c r="O115" s="132">
        <f t="shared" si="167"/>
        <v>1012</v>
      </c>
      <c r="P115" s="127">
        <f t="shared" si="168"/>
        <v>37</v>
      </c>
      <c r="Q115" s="127">
        <f t="shared" si="169"/>
        <v>36.75</v>
      </c>
      <c r="R115" s="128">
        <f t="shared" si="170"/>
        <v>148</v>
      </c>
      <c r="S115" s="130">
        <f t="shared" si="171"/>
        <v>1.4414995494685181</v>
      </c>
      <c r="T115" s="135">
        <f t="shared" si="108"/>
        <v>0</v>
      </c>
      <c r="U115" s="127">
        <f t="shared" si="109"/>
        <v>0</v>
      </c>
      <c r="V115" s="217">
        <v>0</v>
      </c>
      <c r="W115" s="191">
        <v>0</v>
      </c>
      <c r="X115" s="133">
        <v>0</v>
      </c>
      <c r="Y115" s="131">
        <f t="shared" si="110"/>
        <v>2438.5</v>
      </c>
      <c r="Z115" s="131">
        <f t="shared" si="111"/>
        <v>1076.5966513789815</v>
      </c>
      <c r="AA115" s="242">
        <f t="shared" si="112"/>
        <v>3515.0966513789817</v>
      </c>
      <c r="AB115" s="131">
        <f t="shared" si="113"/>
        <v>0</v>
      </c>
      <c r="AC115" s="131">
        <f t="shared" si="114"/>
        <v>140.60386605515927</v>
      </c>
      <c r="AD115" s="131">
        <f t="shared" si="115"/>
        <v>0</v>
      </c>
      <c r="AE115" s="131">
        <f t="shared" si="116"/>
        <v>0</v>
      </c>
      <c r="AF115" s="131">
        <f t="shared" si="117"/>
        <v>0</v>
      </c>
      <c r="AG115" s="131">
        <f t="shared" si="118"/>
        <v>0</v>
      </c>
      <c r="AH115" s="131">
        <f t="shared" si="119"/>
        <v>0</v>
      </c>
      <c r="AI115" s="131">
        <f t="shared" si="120"/>
        <v>0</v>
      </c>
      <c r="AJ115" s="131">
        <f t="shared" si="121"/>
        <v>0</v>
      </c>
      <c r="AK115" s="131"/>
      <c r="AL115" s="131">
        <f t="shared" si="122"/>
        <v>0</v>
      </c>
      <c r="AM115" s="131"/>
      <c r="AN115" s="243">
        <f t="shared" si="123"/>
        <v>0</v>
      </c>
      <c r="AO115" s="131">
        <f t="shared" si="124"/>
        <v>0</v>
      </c>
      <c r="AP115" s="131">
        <f t="shared" si="125"/>
        <v>0</v>
      </c>
      <c r="AQ115" s="131"/>
      <c r="AR115" s="131">
        <f t="shared" si="126"/>
        <v>0</v>
      </c>
      <c r="AS115" s="131">
        <f t="shared" si="172"/>
        <v>0</v>
      </c>
      <c r="AT115" s="131">
        <f t="shared" si="127"/>
        <v>0</v>
      </c>
      <c r="AU115" s="131">
        <f t="shared" si="128"/>
        <v>0</v>
      </c>
      <c r="AV115" s="131"/>
      <c r="AW115" s="131">
        <f t="shared" si="129"/>
        <v>0</v>
      </c>
      <c r="AX115" s="131">
        <f t="shared" si="183"/>
        <v>0</v>
      </c>
      <c r="AY115" s="131">
        <f t="shared" si="130"/>
        <v>0</v>
      </c>
      <c r="AZ115" s="131"/>
      <c r="BA115" s="131">
        <f t="shared" si="184"/>
        <v>0</v>
      </c>
      <c r="BB115" s="131"/>
      <c r="BC115" s="131"/>
      <c r="BD115" s="131">
        <f t="shared" si="131"/>
        <v>0</v>
      </c>
      <c r="BE115" s="131"/>
      <c r="BF115" s="131">
        <f t="shared" si="173"/>
        <v>0</v>
      </c>
      <c r="BG115" s="131">
        <f t="shared" si="174"/>
        <v>0</v>
      </c>
      <c r="BH115" s="131"/>
      <c r="BI115" s="131"/>
      <c r="BJ115" s="131"/>
      <c r="BK115" s="131">
        <f t="shared" si="175"/>
        <v>0</v>
      </c>
      <c r="BL115" s="131"/>
      <c r="BM115" s="131"/>
      <c r="BN115" s="131">
        <f t="shared" si="176"/>
        <v>0</v>
      </c>
      <c r="BO115" s="131"/>
      <c r="BP115" s="131">
        <f t="shared" si="177"/>
        <v>0</v>
      </c>
      <c r="BQ115" s="131"/>
      <c r="BR115" s="131"/>
      <c r="BS115" s="131"/>
      <c r="BT115" s="131"/>
      <c r="BU115" s="131"/>
      <c r="BV115" s="131">
        <f t="shared" si="178"/>
        <v>0</v>
      </c>
      <c r="BW115" s="131"/>
      <c r="BX115" s="131"/>
      <c r="BY115" s="131"/>
      <c r="BZ115" s="131">
        <f t="shared" si="179"/>
        <v>0</v>
      </c>
      <c r="CA115" s="131"/>
      <c r="CB115" s="136">
        <f t="shared" si="132"/>
        <v>160.55836672570746</v>
      </c>
      <c r="CC115" s="131">
        <f t="shared" si="133"/>
        <v>0</v>
      </c>
      <c r="CD115" s="136">
        <f t="shared" si="134"/>
        <v>0</v>
      </c>
      <c r="CE115" s="131">
        <f t="shared" si="182"/>
        <v>0</v>
      </c>
      <c r="CF115" s="136">
        <f t="shared" si="135"/>
        <v>0</v>
      </c>
      <c r="CG115" s="136"/>
      <c r="CH115" s="136">
        <f t="shared" si="181"/>
        <v>0</v>
      </c>
      <c r="CI115" s="131">
        <f t="shared" si="136"/>
        <v>0</v>
      </c>
      <c r="CJ115" s="131"/>
      <c r="CK115" s="136">
        <f t="shared" si="137"/>
        <v>0</v>
      </c>
      <c r="CL115" s="136">
        <f t="shared" si="138"/>
        <v>804.25411383551102</v>
      </c>
      <c r="CM115" s="131">
        <f t="shared" si="139"/>
        <v>0</v>
      </c>
      <c r="CN115" s="136">
        <f t="shared" si="140"/>
        <v>0</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f t="shared" si="146"/>
        <v>0</v>
      </c>
      <c r="DC115" s="131">
        <f t="shared" si="105"/>
        <v>0</v>
      </c>
      <c r="DD115" s="131">
        <f t="shared" si="147"/>
        <v>0</v>
      </c>
      <c r="DE115" s="131">
        <f t="shared" si="148"/>
        <v>0</v>
      </c>
      <c r="DF115" s="131">
        <f t="shared" si="149"/>
        <v>0</v>
      </c>
      <c r="DG115" s="131">
        <f t="shared" si="150"/>
        <v>0</v>
      </c>
      <c r="DH115" s="131"/>
      <c r="DI115" s="131"/>
      <c r="DJ115" s="131"/>
      <c r="DK115" s="137">
        <f t="shared" si="180"/>
        <v>4620.5129979953599</v>
      </c>
      <c r="DL115" s="227" t="e">
        <f t="shared" si="151"/>
        <v>#REF!</v>
      </c>
      <c r="DM115" s="227" t="e">
        <f t="shared" si="152"/>
        <v>#REF!</v>
      </c>
      <c r="DN115" s="228" t="e">
        <f t="shared" si="106"/>
        <v>#REF!</v>
      </c>
      <c r="DO115" s="228">
        <f t="shared" si="153"/>
        <v>194.35242757490622</v>
      </c>
      <c r="DP115" s="228" t="e">
        <f t="shared" si="154"/>
        <v>#REF!</v>
      </c>
      <c r="DQ115" s="228" t="e">
        <f t="shared" si="155"/>
        <v>#REF!</v>
      </c>
    </row>
    <row r="116" spans="1:121">
      <c r="A116" s="132">
        <f t="shared" si="107"/>
        <v>106</v>
      </c>
      <c r="B116" s="18">
        <f t="shared" si="156"/>
        <v>106</v>
      </c>
      <c r="C116" s="18">
        <f>IF(A116=0," ",VLOOKUP(B116,'tosafot '!$A$7:$B$234,2,0))</f>
        <v>10.201599999999999</v>
      </c>
      <c r="D116" s="220">
        <f t="shared" si="157"/>
        <v>228</v>
      </c>
      <c r="E116" s="130">
        <f t="shared" si="158"/>
        <v>12.2026</v>
      </c>
      <c r="F116" s="126">
        <f t="shared" si="159"/>
        <v>22</v>
      </c>
      <c r="G116" s="18" t="str">
        <f t="shared" si="160"/>
        <v>התחבורה</v>
      </c>
      <c r="H116" s="189">
        <f t="shared" si="161"/>
        <v>122</v>
      </c>
      <c r="I116" s="18">
        <f t="shared" si="162"/>
        <v>1</v>
      </c>
      <c r="J116" s="18" t="str">
        <f t="shared" si="163"/>
        <v>מינהלי - עובדי מדינה</v>
      </c>
      <c r="K116" s="189">
        <f t="shared" si="164"/>
        <v>1</v>
      </c>
      <c r="L116" s="18">
        <f t="shared" si="165"/>
        <v>12</v>
      </c>
      <c r="M116" s="129" t="str">
        <f t="shared" si="166"/>
        <v>17+</v>
      </c>
      <c r="N116" s="189"/>
      <c r="O116" s="132">
        <f t="shared" si="167"/>
        <v>1012</v>
      </c>
      <c r="P116" s="127">
        <f t="shared" si="168"/>
        <v>37</v>
      </c>
      <c r="Q116" s="127">
        <f t="shared" si="169"/>
        <v>36.75</v>
      </c>
      <c r="R116" s="128">
        <f t="shared" si="170"/>
        <v>148</v>
      </c>
      <c r="S116" s="130">
        <f t="shared" si="171"/>
        <v>1.4414995494685181</v>
      </c>
      <c r="T116" s="135">
        <f t="shared" si="108"/>
        <v>0</v>
      </c>
      <c r="U116" s="127">
        <f t="shared" si="109"/>
        <v>0</v>
      </c>
      <c r="V116" s="217">
        <v>0</v>
      </c>
      <c r="W116" s="191">
        <v>0</v>
      </c>
      <c r="X116" s="133">
        <v>0</v>
      </c>
      <c r="Y116" s="131">
        <f t="shared" si="110"/>
        <v>2438.5</v>
      </c>
      <c r="Z116" s="131">
        <f t="shared" si="111"/>
        <v>1076.5966513789815</v>
      </c>
      <c r="AA116" s="242">
        <f t="shared" si="112"/>
        <v>3515.0966513789817</v>
      </c>
      <c r="AB116" s="131">
        <f t="shared" si="113"/>
        <v>0</v>
      </c>
      <c r="AC116" s="131">
        <f t="shared" si="114"/>
        <v>140.60386605515927</v>
      </c>
      <c r="AD116" s="131">
        <f t="shared" si="115"/>
        <v>0</v>
      </c>
      <c r="AE116" s="131">
        <f t="shared" si="116"/>
        <v>0</v>
      </c>
      <c r="AF116" s="131">
        <f t="shared" si="117"/>
        <v>0</v>
      </c>
      <c r="AG116" s="131">
        <f t="shared" si="118"/>
        <v>0</v>
      </c>
      <c r="AH116" s="131">
        <f t="shared" si="119"/>
        <v>0</v>
      </c>
      <c r="AI116" s="131">
        <f t="shared" si="120"/>
        <v>0</v>
      </c>
      <c r="AJ116" s="131">
        <f t="shared" si="121"/>
        <v>0</v>
      </c>
      <c r="AK116" s="131"/>
      <c r="AL116" s="131">
        <f t="shared" si="122"/>
        <v>0</v>
      </c>
      <c r="AM116" s="131"/>
      <c r="AN116" s="243">
        <f t="shared" si="123"/>
        <v>0</v>
      </c>
      <c r="AO116" s="131">
        <f t="shared" si="124"/>
        <v>0</v>
      </c>
      <c r="AP116" s="131">
        <f t="shared" si="125"/>
        <v>0</v>
      </c>
      <c r="AQ116" s="131"/>
      <c r="AR116" s="131">
        <f t="shared" si="126"/>
        <v>0</v>
      </c>
      <c r="AS116" s="131">
        <f t="shared" si="172"/>
        <v>0</v>
      </c>
      <c r="AT116" s="131">
        <f t="shared" si="127"/>
        <v>0</v>
      </c>
      <c r="AU116" s="131">
        <f t="shared" si="128"/>
        <v>0</v>
      </c>
      <c r="AV116" s="131"/>
      <c r="AW116" s="131">
        <f t="shared" si="129"/>
        <v>0</v>
      </c>
      <c r="AX116" s="131">
        <f t="shared" si="183"/>
        <v>0</v>
      </c>
      <c r="AY116" s="131">
        <f t="shared" si="130"/>
        <v>0</v>
      </c>
      <c r="AZ116" s="131"/>
      <c r="BA116" s="131">
        <f t="shared" si="184"/>
        <v>0</v>
      </c>
      <c r="BB116" s="131"/>
      <c r="BC116" s="131"/>
      <c r="BD116" s="131">
        <f t="shared" si="131"/>
        <v>0</v>
      </c>
      <c r="BE116" s="131"/>
      <c r="BF116" s="131">
        <f t="shared" si="173"/>
        <v>0</v>
      </c>
      <c r="BG116" s="131">
        <f t="shared" si="174"/>
        <v>0</v>
      </c>
      <c r="BH116" s="131"/>
      <c r="BI116" s="131"/>
      <c r="BJ116" s="131"/>
      <c r="BK116" s="131">
        <f t="shared" si="175"/>
        <v>0</v>
      </c>
      <c r="BL116" s="131"/>
      <c r="BM116" s="131"/>
      <c r="BN116" s="131">
        <f t="shared" si="176"/>
        <v>0</v>
      </c>
      <c r="BO116" s="131"/>
      <c r="BP116" s="131">
        <f t="shared" si="177"/>
        <v>0</v>
      </c>
      <c r="BQ116" s="131"/>
      <c r="BR116" s="131"/>
      <c r="BS116" s="131"/>
      <c r="BT116" s="131"/>
      <c r="BU116" s="131"/>
      <c r="BV116" s="131">
        <f t="shared" si="178"/>
        <v>0</v>
      </c>
      <c r="BW116" s="131"/>
      <c r="BX116" s="131"/>
      <c r="BY116" s="131"/>
      <c r="BZ116" s="131">
        <f t="shared" si="179"/>
        <v>0</v>
      </c>
      <c r="CA116" s="131"/>
      <c r="CB116" s="136">
        <f t="shared" si="132"/>
        <v>160.55836672570746</v>
      </c>
      <c r="CC116" s="131">
        <f t="shared" si="133"/>
        <v>0</v>
      </c>
      <c r="CD116" s="136">
        <f t="shared" si="134"/>
        <v>0</v>
      </c>
      <c r="CE116" s="131">
        <f t="shared" si="182"/>
        <v>0</v>
      </c>
      <c r="CF116" s="136">
        <f t="shared" si="135"/>
        <v>0</v>
      </c>
      <c r="CG116" s="136"/>
      <c r="CH116" s="136">
        <f t="shared" si="181"/>
        <v>0</v>
      </c>
      <c r="CI116" s="131">
        <f t="shared" si="136"/>
        <v>0</v>
      </c>
      <c r="CJ116" s="131"/>
      <c r="CK116" s="136">
        <f t="shared" si="137"/>
        <v>0</v>
      </c>
      <c r="CL116" s="136">
        <f t="shared" si="138"/>
        <v>804.25411383551102</v>
      </c>
      <c r="CM116" s="131">
        <f t="shared" si="139"/>
        <v>0</v>
      </c>
      <c r="CN116" s="136">
        <f t="shared" si="140"/>
        <v>0</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f t="shared" si="146"/>
        <v>0</v>
      </c>
      <c r="DC116" s="131">
        <f t="shared" si="105"/>
        <v>0</v>
      </c>
      <c r="DD116" s="131">
        <f t="shared" si="147"/>
        <v>0</v>
      </c>
      <c r="DE116" s="131">
        <f t="shared" si="148"/>
        <v>0</v>
      </c>
      <c r="DF116" s="131">
        <f t="shared" si="149"/>
        <v>0</v>
      </c>
      <c r="DG116" s="131">
        <f t="shared" si="150"/>
        <v>0</v>
      </c>
      <c r="DH116" s="131"/>
      <c r="DI116" s="131"/>
      <c r="DJ116" s="131"/>
      <c r="DK116" s="137">
        <f t="shared" si="180"/>
        <v>4620.5129979953599</v>
      </c>
      <c r="DL116" s="227" t="e">
        <f t="shared" si="151"/>
        <v>#REF!</v>
      </c>
      <c r="DM116" s="227" t="e">
        <f t="shared" si="152"/>
        <v>#REF!</v>
      </c>
      <c r="DN116" s="228" t="e">
        <f t="shared" si="106"/>
        <v>#REF!</v>
      </c>
      <c r="DO116" s="228">
        <f t="shared" si="153"/>
        <v>194.35242757490622</v>
      </c>
      <c r="DP116" s="228" t="e">
        <f t="shared" si="154"/>
        <v>#REF!</v>
      </c>
      <c r="DQ116" s="228" t="e">
        <f t="shared" si="155"/>
        <v>#REF!</v>
      </c>
    </row>
    <row r="117" spans="1:121">
      <c r="A117" s="132">
        <f t="shared" si="107"/>
        <v>107</v>
      </c>
      <c r="B117" s="18">
        <f t="shared" si="156"/>
        <v>107</v>
      </c>
      <c r="C117" s="18">
        <f>IF(A117=0," ",VLOOKUP(B117,'tosafot '!$A$7:$B$234,2,0))</f>
        <v>11.201599999999999</v>
      </c>
      <c r="D117" s="220">
        <f t="shared" si="157"/>
        <v>228</v>
      </c>
      <c r="E117" s="130">
        <f t="shared" si="158"/>
        <v>12.2026</v>
      </c>
      <c r="F117" s="126">
        <f t="shared" si="159"/>
        <v>22</v>
      </c>
      <c r="G117" s="18" t="str">
        <f t="shared" si="160"/>
        <v>התחבורה</v>
      </c>
      <c r="H117" s="189">
        <f t="shared" si="161"/>
        <v>122</v>
      </c>
      <c r="I117" s="18">
        <f t="shared" si="162"/>
        <v>1</v>
      </c>
      <c r="J117" s="18" t="str">
        <f t="shared" si="163"/>
        <v>מינהלי - עובדי מדינה</v>
      </c>
      <c r="K117" s="189">
        <f t="shared" si="164"/>
        <v>1</v>
      </c>
      <c r="L117" s="18">
        <f t="shared" si="165"/>
        <v>12</v>
      </c>
      <c r="M117" s="129" t="str">
        <f t="shared" si="166"/>
        <v>17+</v>
      </c>
      <c r="N117" s="189"/>
      <c r="O117" s="132">
        <f t="shared" si="167"/>
        <v>1012</v>
      </c>
      <c r="P117" s="127">
        <f t="shared" si="168"/>
        <v>37</v>
      </c>
      <c r="Q117" s="127">
        <f t="shared" si="169"/>
        <v>36.75</v>
      </c>
      <c r="R117" s="128">
        <f t="shared" si="170"/>
        <v>148</v>
      </c>
      <c r="S117" s="130">
        <f t="shared" si="171"/>
        <v>1.4414995494685181</v>
      </c>
      <c r="T117" s="135">
        <f t="shared" si="108"/>
        <v>0</v>
      </c>
      <c r="U117" s="127">
        <f t="shared" si="109"/>
        <v>0</v>
      </c>
      <c r="V117" s="217">
        <v>0</v>
      </c>
      <c r="W117" s="191">
        <v>0</v>
      </c>
      <c r="X117" s="133">
        <v>0</v>
      </c>
      <c r="Y117" s="131">
        <f t="shared" si="110"/>
        <v>2438.5</v>
      </c>
      <c r="Z117" s="131">
        <f t="shared" si="111"/>
        <v>1076.5966513789815</v>
      </c>
      <c r="AA117" s="242">
        <f t="shared" si="112"/>
        <v>3515.0966513789817</v>
      </c>
      <c r="AB117" s="131">
        <f t="shared" si="113"/>
        <v>0</v>
      </c>
      <c r="AC117" s="131">
        <f t="shared" si="114"/>
        <v>140.60386605515927</v>
      </c>
      <c r="AD117" s="131">
        <f t="shared" si="115"/>
        <v>0</v>
      </c>
      <c r="AE117" s="131">
        <f t="shared" si="116"/>
        <v>0</v>
      </c>
      <c r="AF117" s="131">
        <f t="shared" si="117"/>
        <v>0</v>
      </c>
      <c r="AG117" s="131">
        <f t="shared" si="118"/>
        <v>0</v>
      </c>
      <c r="AH117" s="131">
        <f t="shared" si="119"/>
        <v>0</v>
      </c>
      <c r="AI117" s="131">
        <f t="shared" si="120"/>
        <v>0</v>
      </c>
      <c r="AJ117" s="131">
        <f t="shared" si="121"/>
        <v>0</v>
      </c>
      <c r="AK117" s="131"/>
      <c r="AL117" s="131">
        <f t="shared" si="122"/>
        <v>0</v>
      </c>
      <c r="AM117" s="131"/>
      <c r="AN117" s="243">
        <f t="shared" si="123"/>
        <v>0</v>
      </c>
      <c r="AO117" s="131">
        <f t="shared" si="124"/>
        <v>0</v>
      </c>
      <c r="AP117" s="131">
        <f t="shared" si="125"/>
        <v>0</v>
      </c>
      <c r="AQ117" s="131"/>
      <c r="AR117" s="131">
        <f t="shared" si="126"/>
        <v>0</v>
      </c>
      <c r="AS117" s="131">
        <f t="shared" si="172"/>
        <v>0</v>
      </c>
      <c r="AT117" s="131">
        <f t="shared" si="127"/>
        <v>0</v>
      </c>
      <c r="AU117" s="131">
        <f t="shared" si="128"/>
        <v>0</v>
      </c>
      <c r="AV117" s="131"/>
      <c r="AW117" s="131">
        <f t="shared" si="129"/>
        <v>0</v>
      </c>
      <c r="AX117" s="131">
        <f t="shared" si="183"/>
        <v>0</v>
      </c>
      <c r="AY117" s="131">
        <f t="shared" si="130"/>
        <v>0</v>
      </c>
      <c r="AZ117" s="131"/>
      <c r="BA117" s="131">
        <f t="shared" si="184"/>
        <v>0</v>
      </c>
      <c r="BB117" s="131"/>
      <c r="BC117" s="131"/>
      <c r="BD117" s="131">
        <f t="shared" si="131"/>
        <v>0</v>
      </c>
      <c r="BE117" s="131"/>
      <c r="BF117" s="131">
        <f t="shared" si="173"/>
        <v>0</v>
      </c>
      <c r="BG117" s="131">
        <f t="shared" si="174"/>
        <v>0</v>
      </c>
      <c r="BH117" s="131"/>
      <c r="BI117" s="131"/>
      <c r="BJ117" s="131"/>
      <c r="BK117" s="131">
        <f t="shared" si="175"/>
        <v>0</v>
      </c>
      <c r="BL117" s="131"/>
      <c r="BM117" s="131"/>
      <c r="BN117" s="131">
        <f t="shared" si="176"/>
        <v>0</v>
      </c>
      <c r="BO117" s="131"/>
      <c r="BP117" s="131">
        <f t="shared" si="177"/>
        <v>0</v>
      </c>
      <c r="BQ117" s="131"/>
      <c r="BR117" s="131"/>
      <c r="BS117" s="131"/>
      <c r="BT117" s="131"/>
      <c r="BU117" s="131"/>
      <c r="BV117" s="131">
        <f t="shared" si="178"/>
        <v>0</v>
      </c>
      <c r="BW117" s="131"/>
      <c r="BX117" s="131"/>
      <c r="BY117" s="131"/>
      <c r="BZ117" s="131">
        <f t="shared" si="179"/>
        <v>0</v>
      </c>
      <c r="CA117" s="131"/>
      <c r="CB117" s="136">
        <f t="shared" si="132"/>
        <v>160.55836672570746</v>
      </c>
      <c r="CC117" s="131">
        <f t="shared" si="133"/>
        <v>0</v>
      </c>
      <c r="CD117" s="136">
        <f t="shared" si="134"/>
        <v>0</v>
      </c>
      <c r="CE117" s="131">
        <f t="shared" si="182"/>
        <v>0</v>
      </c>
      <c r="CF117" s="136">
        <f t="shared" si="135"/>
        <v>0</v>
      </c>
      <c r="CG117" s="136"/>
      <c r="CH117" s="136">
        <f t="shared" si="181"/>
        <v>0</v>
      </c>
      <c r="CI117" s="131">
        <f t="shared" si="136"/>
        <v>0</v>
      </c>
      <c r="CJ117" s="131"/>
      <c r="CK117" s="136">
        <f t="shared" si="137"/>
        <v>0</v>
      </c>
      <c r="CL117" s="136">
        <f t="shared" si="138"/>
        <v>804.25411383551102</v>
      </c>
      <c r="CM117" s="131">
        <f t="shared" si="139"/>
        <v>0</v>
      </c>
      <c r="CN117" s="136">
        <f t="shared" si="140"/>
        <v>0</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f t="shared" si="146"/>
        <v>0</v>
      </c>
      <c r="DC117" s="131">
        <f t="shared" si="105"/>
        <v>0</v>
      </c>
      <c r="DD117" s="131">
        <f t="shared" si="147"/>
        <v>0</v>
      </c>
      <c r="DE117" s="131">
        <f t="shared" si="148"/>
        <v>0</v>
      </c>
      <c r="DF117" s="131">
        <f t="shared" si="149"/>
        <v>0</v>
      </c>
      <c r="DG117" s="131">
        <f t="shared" si="150"/>
        <v>0</v>
      </c>
      <c r="DH117" s="131"/>
      <c r="DI117" s="131"/>
      <c r="DJ117" s="131"/>
      <c r="DK117" s="137">
        <f t="shared" si="180"/>
        <v>4620.5129979953599</v>
      </c>
      <c r="DL117" s="227" t="e">
        <f t="shared" si="151"/>
        <v>#REF!</v>
      </c>
      <c r="DM117" s="227" t="e">
        <f t="shared" si="152"/>
        <v>#REF!</v>
      </c>
      <c r="DN117" s="228" t="e">
        <f t="shared" si="106"/>
        <v>#REF!</v>
      </c>
      <c r="DO117" s="228">
        <f t="shared" si="153"/>
        <v>194.35242757490622</v>
      </c>
      <c r="DP117" s="228" t="e">
        <f t="shared" si="154"/>
        <v>#REF!</v>
      </c>
      <c r="DQ117" s="228" t="e">
        <f t="shared" si="155"/>
        <v>#REF!</v>
      </c>
    </row>
    <row r="118" spans="1:121">
      <c r="A118" s="132">
        <f t="shared" si="107"/>
        <v>108</v>
      </c>
      <c r="B118" s="18">
        <f t="shared" si="156"/>
        <v>108</v>
      </c>
      <c r="C118" s="18">
        <f>IF(A118=0," ",VLOOKUP(B118,'tosafot '!$A$7:$B$234,2,0))</f>
        <v>12.201599999999999</v>
      </c>
      <c r="D118" s="220">
        <f t="shared" si="157"/>
        <v>228</v>
      </c>
      <c r="E118" s="130">
        <f t="shared" si="158"/>
        <v>12.2026</v>
      </c>
      <c r="F118" s="126">
        <f t="shared" si="159"/>
        <v>22</v>
      </c>
      <c r="G118" s="18" t="str">
        <f t="shared" si="160"/>
        <v>התחבורה</v>
      </c>
      <c r="H118" s="189">
        <f t="shared" si="161"/>
        <v>122</v>
      </c>
      <c r="I118" s="18">
        <f t="shared" si="162"/>
        <v>1</v>
      </c>
      <c r="J118" s="18" t="str">
        <f t="shared" si="163"/>
        <v>מינהלי - עובדי מדינה</v>
      </c>
      <c r="K118" s="189">
        <f t="shared" si="164"/>
        <v>1</v>
      </c>
      <c r="L118" s="18">
        <f t="shared" si="165"/>
        <v>12</v>
      </c>
      <c r="M118" s="129" t="str">
        <f t="shared" si="166"/>
        <v>17+</v>
      </c>
      <c r="N118" s="189"/>
      <c r="O118" s="132">
        <f t="shared" si="167"/>
        <v>1012</v>
      </c>
      <c r="P118" s="127">
        <f t="shared" si="168"/>
        <v>37</v>
      </c>
      <c r="Q118" s="127">
        <f t="shared" si="169"/>
        <v>36.75</v>
      </c>
      <c r="R118" s="128">
        <f t="shared" si="170"/>
        <v>148</v>
      </c>
      <c r="S118" s="130">
        <f t="shared" si="171"/>
        <v>1.4414995494685181</v>
      </c>
      <c r="T118" s="135">
        <f t="shared" si="108"/>
        <v>0</v>
      </c>
      <c r="U118" s="127">
        <f t="shared" si="109"/>
        <v>0</v>
      </c>
      <c r="V118" s="217">
        <v>0</v>
      </c>
      <c r="W118" s="191">
        <v>0</v>
      </c>
      <c r="X118" s="133">
        <v>0</v>
      </c>
      <c r="Y118" s="131">
        <f t="shared" si="110"/>
        <v>2438.5</v>
      </c>
      <c r="Z118" s="131">
        <f t="shared" si="111"/>
        <v>1076.5966513789815</v>
      </c>
      <c r="AA118" s="242">
        <f t="shared" si="112"/>
        <v>3515.0966513789817</v>
      </c>
      <c r="AB118" s="131">
        <f t="shared" si="113"/>
        <v>0</v>
      </c>
      <c r="AC118" s="131">
        <f t="shared" si="114"/>
        <v>140.60386605515927</v>
      </c>
      <c r="AD118" s="131">
        <f t="shared" si="115"/>
        <v>0</v>
      </c>
      <c r="AE118" s="131">
        <f t="shared" si="116"/>
        <v>0</v>
      </c>
      <c r="AF118" s="131">
        <f t="shared" si="117"/>
        <v>0</v>
      </c>
      <c r="AG118" s="131">
        <f t="shared" si="118"/>
        <v>0</v>
      </c>
      <c r="AH118" s="131">
        <f t="shared" si="119"/>
        <v>0</v>
      </c>
      <c r="AI118" s="131">
        <f t="shared" si="120"/>
        <v>0</v>
      </c>
      <c r="AJ118" s="131">
        <f t="shared" si="121"/>
        <v>0</v>
      </c>
      <c r="AK118" s="131"/>
      <c r="AL118" s="131">
        <f t="shared" si="122"/>
        <v>0</v>
      </c>
      <c r="AM118" s="131"/>
      <c r="AN118" s="243">
        <f t="shared" si="123"/>
        <v>0</v>
      </c>
      <c r="AO118" s="131">
        <f t="shared" si="124"/>
        <v>0</v>
      </c>
      <c r="AP118" s="131">
        <f t="shared" si="125"/>
        <v>0</v>
      </c>
      <c r="AQ118" s="131"/>
      <c r="AR118" s="131">
        <f t="shared" si="126"/>
        <v>0</v>
      </c>
      <c r="AS118" s="131">
        <f t="shared" si="172"/>
        <v>0</v>
      </c>
      <c r="AT118" s="131">
        <f t="shared" si="127"/>
        <v>0</v>
      </c>
      <c r="AU118" s="131">
        <f t="shared" si="128"/>
        <v>0</v>
      </c>
      <c r="AV118" s="131"/>
      <c r="AW118" s="131">
        <f t="shared" si="129"/>
        <v>0</v>
      </c>
      <c r="AX118" s="131">
        <f t="shared" si="183"/>
        <v>0</v>
      </c>
      <c r="AY118" s="131">
        <f t="shared" si="130"/>
        <v>0</v>
      </c>
      <c r="AZ118" s="131"/>
      <c r="BA118" s="131">
        <f t="shared" si="184"/>
        <v>0</v>
      </c>
      <c r="BB118" s="131"/>
      <c r="BC118" s="131"/>
      <c r="BD118" s="131">
        <f t="shared" si="131"/>
        <v>0</v>
      </c>
      <c r="BE118" s="131"/>
      <c r="BF118" s="131">
        <f t="shared" si="173"/>
        <v>0</v>
      </c>
      <c r="BG118" s="131">
        <f t="shared" si="174"/>
        <v>0</v>
      </c>
      <c r="BH118" s="131"/>
      <c r="BI118" s="131"/>
      <c r="BJ118" s="131"/>
      <c r="BK118" s="131">
        <f t="shared" si="175"/>
        <v>0</v>
      </c>
      <c r="BL118" s="131"/>
      <c r="BM118" s="131"/>
      <c r="BN118" s="131">
        <f t="shared" si="176"/>
        <v>0</v>
      </c>
      <c r="BO118" s="131"/>
      <c r="BP118" s="131">
        <f t="shared" si="177"/>
        <v>0</v>
      </c>
      <c r="BQ118" s="131"/>
      <c r="BR118" s="131"/>
      <c r="BS118" s="131"/>
      <c r="BT118" s="131"/>
      <c r="BU118" s="131"/>
      <c r="BV118" s="131">
        <f t="shared" si="178"/>
        <v>0</v>
      </c>
      <c r="BW118" s="131"/>
      <c r="BX118" s="131"/>
      <c r="BY118" s="131"/>
      <c r="BZ118" s="131">
        <f t="shared" si="179"/>
        <v>0</v>
      </c>
      <c r="CA118" s="131"/>
      <c r="CB118" s="136">
        <f t="shared" si="132"/>
        <v>160.55836672570746</v>
      </c>
      <c r="CC118" s="131">
        <f t="shared" si="133"/>
        <v>0</v>
      </c>
      <c r="CD118" s="136">
        <f t="shared" si="134"/>
        <v>0</v>
      </c>
      <c r="CE118" s="131">
        <f t="shared" si="182"/>
        <v>0</v>
      </c>
      <c r="CF118" s="136">
        <f t="shared" si="135"/>
        <v>0</v>
      </c>
      <c r="CG118" s="136"/>
      <c r="CH118" s="136">
        <f t="shared" si="181"/>
        <v>0</v>
      </c>
      <c r="CI118" s="131">
        <f t="shared" si="136"/>
        <v>0</v>
      </c>
      <c r="CJ118" s="131"/>
      <c r="CK118" s="136">
        <f t="shared" si="137"/>
        <v>0</v>
      </c>
      <c r="CL118" s="136">
        <f t="shared" si="138"/>
        <v>804.25411383551102</v>
      </c>
      <c r="CM118" s="131">
        <f t="shared" si="139"/>
        <v>0</v>
      </c>
      <c r="CN118" s="136">
        <f t="shared" si="140"/>
        <v>0</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f t="shared" si="146"/>
        <v>0</v>
      </c>
      <c r="DC118" s="131">
        <f t="shared" si="105"/>
        <v>0</v>
      </c>
      <c r="DD118" s="131">
        <f t="shared" si="147"/>
        <v>0</v>
      </c>
      <c r="DE118" s="131">
        <f t="shared" si="148"/>
        <v>0</v>
      </c>
      <c r="DF118" s="131">
        <f t="shared" si="149"/>
        <v>0</v>
      </c>
      <c r="DG118" s="131">
        <f t="shared" si="150"/>
        <v>0</v>
      </c>
      <c r="DH118" s="131"/>
      <c r="DI118" s="131"/>
      <c r="DJ118" s="131"/>
      <c r="DK118" s="137">
        <f t="shared" si="180"/>
        <v>4620.5129979953599</v>
      </c>
      <c r="DL118" s="227" t="e">
        <f t="shared" si="151"/>
        <v>#REF!</v>
      </c>
      <c r="DM118" s="227" t="e">
        <f t="shared" si="152"/>
        <v>#REF!</v>
      </c>
      <c r="DN118" s="228" t="e">
        <f t="shared" si="106"/>
        <v>#REF!</v>
      </c>
      <c r="DO118" s="228">
        <f t="shared" si="153"/>
        <v>194.35242757490622</v>
      </c>
      <c r="DP118" s="228" t="e">
        <f t="shared" si="154"/>
        <v>#REF!</v>
      </c>
      <c r="DQ118" s="228" t="e">
        <f t="shared" si="155"/>
        <v>#REF!</v>
      </c>
    </row>
    <row r="119" spans="1:121">
      <c r="A119" s="132">
        <f t="shared" si="107"/>
        <v>109</v>
      </c>
      <c r="B119" s="18">
        <f t="shared" si="156"/>
        <v>109</v>
      </c>
      <c r="C119" s="18">
        <f>IF(A119=0," ",VLOOKUP(B119,'tosafot '!$A$7:$B$234,2,0))</f>
        <v>1.2017</v>
      </c>
      <c r="D119" s="220">
        <f t="shared" si="157"/>
        <v>228</v>
      </c>
      <c r="E119" s="130">
        <f t="shared" si="158"/>
        <v>12.2026</v>
      </c>
      <c r="F119" s="126">
        <f t="shared" si="159"/>
        <v>22</v>
      </c>
      <c r="G119" s="18" t="str">
        <f t="shared" si="160"/>
        <v>התחבורה</v>
      </c>
      <c r="H119" s="189">
        <f t="shared" si="161"/>
        <v>122</v>
      </c>
      <c r="I119" s="18">
        <f t="shared" si="162"/>
        <v>1</v>
      </c>
      <c r="J119" s="18" t="str">
        <f t="shared" si="163"/>
        <v>מינהלי - עובדי מדינה</v>
      </c>
      <c r="K119" s="189">
        <f t="shared" si="164"/>
        <v>1</v>
      </c>
      <c r="L119" s="18">
        <f t="shared" si="165"/>
        <v>12</v>
      </c>
      <c r="M119" s="129" t="str">
        <f t="shared" si="166"/>
        <v>17+</v>
      </c>
      <c r="N119" s="189"/>
      <c r="O119" s="132">
        <f t="shared" si="167"/>
        <v>1012</v>
      </c>
      <c r="P119" s="127">
        <f t="shared" si="168"/>
        <v>37</v>
      </c>
      <c r="Q119" s="127">
        <f t="shared" si="169"/>
        <v>36.75</v>
      </c>
      <c r="R119" s="128">
        <f t="shared" si="170"/>
        <v>148</v>
      </c>
      <c r="S119" s="130">
        <f t="shared" si="171"/>
        <v>1.4414995494685181</v>
      </c>
      <c r="T119" s="135">
        <f t="shared" si="108"/>
        <v>0</v>
      </c>
      <c r="U119" s="127">
        <f t="shared" si="109"/>
        <v>0</v>
      </c>
      <c r="V119" s="217">
        <v>0</v>
      </c>
      <c r="W119" s="191">
        <v>0</v>
      </c>
      <c r="X119" s="133">
        <v>0</v>
      </c>
      <c r="Y119" s="131">
        <f t="shared" si="110"/>
        <v>2438.5</v>
      </c>
      <c r="Z119" s="131">
        <f t="shared" si="111"/>
        <v>1076.5966513789815</v>
      </c>
      <c r="AA119" s="242">
        <f t="shared" si="112"/>
        <v>3515.0966513789817</v>
      </c>
      <c r="AB119" s="131">
        <f t="shared" si="113"/>
        <v>0</v>
      </c>
      <c r="AC119" s="131">
        <f t="shared" si="114"/>
        <v>140.60386605515927</v>
      </c>
      <c r="AD119" s="131">
        <f t="shared" si="115"/>
        <v>0</v>
      </c>
      <c r="AE119" s="131">
        <f t="shared" si="116"/>
        <v>0</v>
      </c>
      <c r="AF119" s="131">
        <f t="shared" si="117"/>
        <v>0</v>
      </c>
      <c r="AG119" s="131">
        <f t="shared" si="118"/>
        <v>0</v>
      </c>
      <c r="AH119" s="131">
        <f t="shared" si="119"/>
        <v>0</v>
      </c>
      <c r="AI119" s="131">
        <f t="shared" si="120"/>
        <v>0</v>
      </c>
      <c r="AJ119" s="131">
        <f t="shared" si="121"/>
        <v>0</v>
      </c>
      <c r="AK119" s="131"/>
      <c r="AL119" s="131">
        <f t="shared" si="122"/>
        <v>0</v>
      </c>
      <c r="AM119" s="131"/>
      <c r="AN119" s="243">
        <f t="shared" si="123"/>
        <v>0</v>
      </c>
      <c r="AO119" s="131">
        <f t="shared" si="124"/>
        <v>0</v>
      </c>
      <c r="AP119" s="131">
        <f t="shared" si="125"/>
        <v>0</v>
      </c>
      <c r="AQ119" s="131"/>
      <c r="AR119" s="131">
        <f t="shared" si="126"/>
        <v>0</v>
      </c>
      <c r="AS119" s="131">
        <f t="shared" si="172"/>
        <v>0</v>
      </c>
      <c r="AT119" s="131">
        <f t="shared" si="127"/>
        <v>0</v>
      </c>
      <c r="AU119" s="131">
        <f t="shared" si="128"/>
        <v>0</v>
      </c>
      <c r="AV119" s="131"/>
      <c r="AW119" s="131">
        <f t="shared" si="129"/>
        <v>0</v>
      </c>
      <c r="AX119" s="131">
        <f t="shared" si="183"/>
        <v>0</v>
      </c>
      <c r="AY119" s="131">
        <f t="shared" si="130"/>
        <v>0</v>
      </c>
      <c r="AZ119" s="131"/>
      <c r="BA119" s="131">
        <f t="shared" si="184"/>
        <v>0</v>
      </c>
      <c r="BB119" s="131"/>
      <c r="BC119" s="131"/>
      <c r="BD119" s="131">
        <f t="shared" si="131"/>
        <v>0</v>
      </c>
      <c r="BE119" s="131"/>
      <c r="BF119" s="131">
        <f t="shared" si="173"/>
        <v>0</v>
      </c>
      <c r="BG119" s="131">
        <f t="shared" si="174"/>
        <v>0</v>
      </c>
      <c r="BH119" s="131"/>
      <c r="BI119" s="131"/>
      <c r="BJ119" s="131"/>
      <c r="BK119" s="131">
        <f t="shared" si="175"/>
        <v>0</v>
      </c>
      <c r="BL119" s="131"/>
      <c r="BM119" s="131"/>
      <c r="BN119" s="131">
        <f t="shared" si="176"/>
        <v>0</v>
      </c>
      <c r="BO119" s="131"/>
      <c r="BP119" s="131">
        <f t="shared" si="177"/>
        <v>0</v>
      </c>
      <c r="BQ119" s="131"/>
      <c r="BR119" s="131"/>
      <c r="BS119" s="131"/>
      <c r="BT119" s="131"/>
      <c r="BU119" s="131"/>
      <c r="BV119" s="131">
        <f t="shared" si="178"/>
        <v>0</v>
      </c>
      <c r="BW119" s="131"/>
      <c r="BX119" s="131"/>
      <c r="BY119" s="131"/>
      <c r="BZ119" s="131">
        <f t="shared" si="179"/>
        <v>0</v>
      </c>
      <c r="CA119" s="131"/>
      <c r="CB119" s="136">
        <f t="shared" si="132"/>
        <v>160.55836672570746</v>
      </c>
      <c r="CC119" s="131">
        <f t="shared" si="133"/>
        <v>0</v>
      </c>
      <c r="CD119" s="136">
        <f t="shared" si="134"/>
        <v>0</v>
      </c>
      <c r="CE119" s="131">
        <f t="shared" si="182"/>
        <v>0</v>
      </c>
      <c r="CF119" s="136">
        <f t="shared" si="135"/>
        <v>0</v>
      </c>
      <c r="CG119" s="136"/>
      <c r="CH119" s="136">
        <f t="shared" si="181"/>
        <v>0</v>
      </c>
      <c r="CI119" s="131">
        <f t="shared" si="136"/>
        <v>0</v>
      </c>
      <c r="CJ119" s="131"/>
      <c r="CK119" s="136">
        <f t="shared" si="137"/>
        <v>0</v>
      </c>
      <c r="CL119" s="136">
        <f t="shared" si="138"/>
        <v>804.25411383551102</v>
      </c>
      <c r="CM119" s="131">
        <f t="shared" si="139"/>
        <v>0</v>
      </c>
      <c r="CN119" s="136">
        <f t="shared" si="140"/>
        <v>0</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f t="shared" si="146"/>
        <v>0</v>
      </c>
      <c r="DC119" s="131">
        <f t="shared" si="105"/>
        <v>0</v>
      </c>
      <c r="DD119" s="131">
        <f t="shared" si="147"/>
        <v>0</v>
      </c>
      <c r="DE119" s="131">
        <f t="shared" si="148"/>
        <v>0</v>
      </c>
      <c r="DF119" s="131">
        <f t="shared" si="149"/>
        <v>0</v>
      </c>
      <c r="DG119" s="131">
        <f t="shared" si="150"/>
        <v>0</v>
      </c>
      <c r="DH119" s="131"/>
      <c r="DI119" s="131"/>
      <c r="DJ119" s="131"/>
      <c r="DK119" s="137">
        <f t="shared" si="180"/>
        <v>4620.5129979953599</v>
      </c>
      <c r="DL119" s="227" t="e">
        <f t="shared" si="151"/>
        <v>#REF!</v>
      </c>
      <c r="DM119" s="227" t="e">
        <f t="shared" si="152"/>
        <v>#REF!</v>
      </c>
      <c r="DN119" s="228" t="e">
        <f t="shared" si="106"/>
        <v>#REF!</v>
      </c>
      <c r="DO119" s="228">
        <f t="shared" si="153"/>
        <v>194.35242757490622</v>
      </c>
      <c r="DP119" s="228" t="e">
        <f t="shared" si="154"/>
        <v>#REF!</v>
      </c>
      <c r="DQ119" s="228" t="e">
        <f t="shared" si="155"/>
        <v>#REF!</v>
      </c>
    </row>
    <row r="120" spans="1:121">
      <c r="A120" s="132">
        <f t="shared" si="107"/>
        <v>110</v>
      </c>
      <c r="B120" s="18">
        <f t="shared" si="156"/>
        <v>110</v>
      </c>
      <c r="C120" s="18">
        <f>IF(A120=0," ",VLOOKUP(B120,'tosafot '!$A$7:$B$234,2,0))</f>
        <v>2.2017000000000002</v>
      </c>
      <c r="D120" s="220">
        <f t="shared" si="157"/>
        <v>228</v>
      </c>
      <c r="E120" s="130">
        <f t="shared" si="158"/>
        <v>12.2026</v>
      </c>
      <c r="F120" s="126">
        <f t="shared" si="159"/>
        <v>22</v>
      </c>
      <c r="G120" s="18" t="str">
        <f t="shared" si="160"/>
        <v>התחבורה</v>
      </c>
      <c r="H120" s="189">
        <f t="shared" si="161"/>
        <v>122</v>
      </c>
      <c r="I120" s="18">
        <f t="shared" si="162"/>
        <v>1</v>
      </c>
      <c r="J120" s="18" t="str">
        <f t="shared" si="163"/>
        <v>מינהלי - עובדי מדינה</v>
      </c>
      <c r="K120" s="189">
        <f t="shared" si="164"/>
        <v>1</v>
      </c>
      <c r="L120" s="18">
        <f t="shared" si="165"/>
        <v>12</v>
      </c>
      <c r="M120" s="129" t="str">
        <f t="shared" si="166"/>
        <v>17+</v>
      </c>
      <c r="N120" s="189"/>
      <c r="O120" s="132">
        <f t="shared" si="167"/>
        <v>1012</v>
      </c>
      <c r="P120" s="127">
        <f t="shared" si="168"/>
        <v>37</v>
      </c>
      <c r="Q120" s="127">
        <f t="shared" si="169"/>
        <v>36.75</v>
      </c>
      <c r="R120" s="128">
        <f t="shared" si="170"/>
        <v>148</v>
      </c>
      <c r="S120" s="130">
        <f t="shared" si="171"/>
        <v>1.4414995494685181</v>
      </c>
      <c r="T120" s="135">
        <f t="shared" si="108"/>
        <v>0</v>
      </c>
      <c r="U120" s="127">
        <f t="shared" si="109"/>
        <v>0</v>
      </c>
      <c r="V120" s="217">
        <v>0</v>
      </c>
      <c r="W120" s="191">
        <v>0</v>
      </c>
      <c r="X120" s="133">
        <v>0</v>
      </c>
      <c r="Y120" s="131">
        <f t="shared" si="110"/>
        <v>2438.5</v>
      </c>
      <c r="Z120" s="131">
        <f t="shared" si="111"/>
        <v>1076.5966513789815</v>
      </c>
      <c r="AA120" s="242">
        <f t="shared" si="112"/>
        <v>3515.0966513789817</v>
      </c>
      <c r="AB120" s="131">
        <f t="shared" si="113"/>
        <v>0</v>
      </c>
      <c r="AC120" s="131">
        <f t="shared" si="114"/>
        <v>140.60386605515927</v>
      </c>
      <c r="AD120" s="131">
        <f t="shared" si="115"/>
        <v>0</v>
      </c>
      <c r="AE120" s="131">
        <f t="shared" si="116"/>
        <v>0</v>
      </c>
      <c r="AF120" s="131">
        <f t="shared" si="117"/>
        <v>0</v>
      </c>
      <c r="AG120" s="131">
        <f t="shared" si="118"/>
        <v>0</v>
      </c>
      <c r="AH120" s="131">
        <f t="shared" si="119"/>
        <v>0</v>
      </c>
      <c r="AI120" s="131">
        <f t="shared" si="120"/>
        <v>0</v>
      </c>
      <c r="AJ120" s="131">
        <f t="shared" si="121"/>
        <v>0</v>
      </c>
      <c r="AK120" s="131"/>
      <c r="AL120" s="131">
        <f t="shared" si="122"/>
        <v>0</v>
      </c>
      <c r="AM120" s="131"/>
      <c r="AN120" s="243">
        <f t="shared" si="123"/>
        <v>0</v>
      </c>
      <c r="AO120" s="131">
        <f t="shared" si="124"/>
        <v>0</v>
      </c>
      <c r="AP120" s="131">
        <f t="shared" si="125"/>
        <v>0</v>
      </c>
      <c r="AQ120" s="131"/>
      <c r="AR120" s="131">
        <f t="shared" si="126"/>
        <v>0</v>
      </c>
      <c r="AS120" s="131">
        <f t="shared" si="172"/>
        <v>0</v>
      </c>
      <c r="AT120" s="131">
        <f t="shared" si="127"/>
        <v>0</v>
      </c>
      <c r="AU120" s="131">
        <f t="shared" si="128"/>
        <v>0</v>
      </c>
      <c r="AV120" s="131"/>
      <c r="AW120" s="131">
        <f t="shared" si="129"/>
        <v>0</v>
      </c>
      <c r="AX120" s="131">
        <f t="shared" si="183"/>
        <v>0</v>
      </c>
      <c r="AY120" s="131">
        <f t="shared" si="130"/>
        <v>0</v>
      </c>
      <c r="AZ120" s="131"/>
      <c r="BA120" s="131">
        <f t="shared" si="184"/>
        <v>0</v>
      </c>
      <c r="BB120" s="131"/>
      <c r="BC120" s="131"/>
      <c r="BD120" s="131">
        <f t="shared" si="131"/>
        <v>0</v>
      </c>
      <c r="BE120" s="131"/>
      <c r="BF120" s="131">
        <f t="shared" si="173"/>
        <v>0</v>
      </c>
      <c r="BG120" s="131">
        <f t="shared" si="174"/>
        <v>0</v>
      </c>
      <c r="BH120" s="131"/>
      <c r="BI120" s="131"/>
      <c r="BJ120" s="131"/>
      <c r="BK120" s="131">
        <f t="shared" si="175"/>
        <v>0</v>
      </c>
      <c r="BL120" s="131"/>
      <c r="BM120" s="131"/>
      <c r="BN120" s="131">
        <f t="shared" si="176"/>
        <v>0</v>
      </c>
      <c r="BO120" s="131"/>
      <c r="BP120" s="131">
        <f t="shared" si="177"/>
        <v>0</v>
      </c>
      <c r="BQ120" s="131"/>
      <c r="BR120" s="131"/>
      <c r="BS120" s="131"/>
      <c r="BT120" s="131"/>
      <c r="BU120" s="131"/>
      <c r="BV120" s="131">
        <f t="shared" si="178"/>
        <v>0</v>
      </c>
      <c r="BW120" s="131"/>
      <c r="BX120" s="131"/>
      <c r="BY120" s="131"/>
      <c r="BZ120" s="131">
        <f t="shared" si="179"/>
        <v>0</v>
      </c>
      <c r="CA120" s="131"/>
      <c r="CB120" s="136">
        <f t="shared" si="132"/>
        <v>160.55836672570746</v>
      </c>
      <c r="CC120" s="131">
        <f t="shared" si="133"/>
        <v>0</v>
      </c>
      <c r="CD120" s="136">
        <f t="shared" si="134"/>
        <v>0</v>
      </c>
      <c r="CE120" s="131">
        <f t="shared" si="182"/>
        <v>0</v>
      </c>
      <c r="CF120" s="136">
        <f t="shared" si="135"/>
        <v>0</v>
      </c>
      <c r="CG120" s="136"/>
      <c r="CH120" s="136">
        <f t="shared" si="181"/>
        <v>0</v>
      </c>
      <c r="CI120" s="131">
        <f t="shared" si="136"/>
        <v>0</v>
      </c>
      <c r="CJ120" s="131"/>
      <c r="CK120" s="136">
        <f t="shared" si="137"/>
        <v>0</v>
      </c>
      <c r="CL120" s="136">
        <f t="shared" si="138"/>
        <v>804.25411383551102</v>
      </c>
      <c r="CM120" s="131">
        <f t="shared" si="139"/>
        <v>0</v>
      </c>
      <c r="CN120" s="136">
        <f t="shared" si="140"/>
        <v>0</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f t="shared" si="146"/>
        <v>0</v>
      </c>
      <c r="DC120" s="131">
        <f t="shared" si="105"/>
        <v>0</v>
      </c>
      <c r="DD120" s="131">
        <f t="shared" si="147"/>
        <v>0</v>
      </c>
      <c r="DE120" s="131">
        <f t="shared" si="148"/>
        <v>0</v>
      </c>
      <c r="DF120" s="131">
        <f t="shared" si="149"/>
        <v>0</v>
      </c>
      <c r="DG120" s="131">
        <f t="shared" si="150"/>
        <v>0</v>
      </c>
      <c r="DH120" s="131"/>
      <c r="DI120" s="131"/>
      <c r="DJ120" s="131"/>
      <c r="DK120" s="137">
        <f t="shared" si="180"/>
        <v>4620.5129979953599</v>
      </c>
      <c r="DL120" s="227" t="e">
        <f t="shared" si="151"/>
        <v>#REF!</v>
      </c>
      <c r="DM120" s="227" t="e">
        <f t="shared" si="152"/>
        <v>#REF!</v>
      </c>
      <c r="DN120" s="228" t="e">
        <f t="shared" si="106"/>
        <v>#REF!</v>
      </c>
      <c r="DO120" s="228">
        <f t="shared" si="153"/>
        <v>194.35242757490622</v>
      </c>
      <c r="DP120" s="228" t="e">
        <f t="shared" si="154"/>
        <v>#REF!</v>
      </c>
      <c r="DQ120" s="228" t="e">
        <f t="shared" si="155"/>
        <v>#REF!</v>
      </c>
    </row>
    <row r="121" spans="1:121">
      <c r="A121" s="132">
        <f t="shared" si="107"/>
        <v>111</v>
      </c>
      <c r="B121" s="18">
        <f t="shared" si="156"/>
        <v>111</v>
      </c>
      <c r="C121" s="18">
        <f>IF(A121=0," ",VLOOKUP(B121,'tosafot '!$A$7:$B$234,2,0))</f>
        <v>3.2017000000000002</v>
      </c>
      <c r="D121" s="220">
        <f t="shared" si="157"/>
        <v>228</v>
      </c>
      <c r="E121" s="130">
        <f t="shared" si="158"/>
        <v>12.2026</v>
      </c>
      <c r="F121" s="126">
        <f t="shared" si="159"/>
        <v>22</v>
      </c>
      <c r="G121" s="18" t="str">
        <f t="shared" si="160"/>
        <v>התחבורה</v>
      </c>
      <c r="H121" s="189">
        <f t="shared" si="161"/>
        <v>122</v>
      </c>
      <c r="I121" s="18">
        <f t="shared" si="162"/>
        <v>1</v>
      </c>
      <c r="J121" s="18" t="str">
        <f t="shared" si="163"/>
        <v>מינהלי - עובדי מדינה</v>
      </c>
      <c r="K121" s="189">
        <f t="shared" si="164"/>
        <v>1</v>
      </c>
      <c r="L121" s="18">
        <f t="shared" si="165"/>
        <v>12</v>
      </c>
      <c r="M121" s="129" t="str">
        <f t="shared" si="166"/>
        <v>17+</v>
      </c>
      <c r="N121" s="189"/>
      <c r="O121" s="132">
        <f t="shared" si="167"/>
        <v>1012</v>
      </c>
      <c r="P121" s="127">
        <f t="shared" si="168"/>
        <v>37</v>
      </c>
      <c r="Q121" s="127">
        <f t="shared" si="169"/>
        <v>36.75</v>
      </c>
      <c r="R121" s="128">
        <f t="shared" si="170"/>
        <v>148</v>
      </c>
      <c r="S121" s="130">
        <f t="shared" si="171"/>
        <v>1.4414995494685181</v>
      </c>
      <c r="T121" s="135">
        <f t="shared" si="108"/>
        <v>0</v>
      </c>
      <c r="U121" s="127">
        <f t="shared" si="109"/>
        <v>0</v>
      </c>
      <c r="V121" s="217">
        <v>0</v>
      </c>
      <c r="W121" s="191">
        <v>0</v>
      </c>
      <c r="X121" s="133">
        <v>0</v>
      </c>
      <c r="Y121" s="131">
        <f t="shared" si="110"/>
        <v>2438.5</v>
      </c>
      <c r="Z121" s="131">
        <f t="shared" si="111"/>
        <v>1076.5966513789815</v>
      </c>
      <c r="AA121" s="242">
        <f t="shared" si="112"/>
        <v>3515.0966513789817</v>
      </c>
      <c r="AB121" s="131">
        <f t="shared" si="113"/>
        <v>0</v>
      </c>
      <c r="AC121" s="131">
        <f t="shared" si="114"/>
        <v>140.60386605515927</v>
      </c>
      <c r="AD121" s="131">
        <f t="shared" si="115"/>
        <v>0</v>
      </c>
      <c r="AE121" s="131">
        <f t="shared" si="116"/>
        <v>0</v>
      </c>
      <c r="AF121" s="131">
        <f t="shared" si="117"/>
        <v>0</v>
      </c>
      <c r="AG121" s="131">
        <f t="shared" si="118"/>
        <v>0</v>
      </c>
      <c r="AH121" s="131">
        <f t="shared" si="119"/>
        <v>0</v>
      </c>
      <c r="AI121" s="131">
        <f t="shared" si="120"/>
        <v>0</v>
      </c>
      <c r="AJ121" s="131">
        <f t="shared" si="121"/>
        <v>0</v>
      </c>
      <c r="AK121" s="131"/>
      <c r="AL121" s="131">
        <f t="shared" si="122"/>
        <v>0</v>
      </c>
      <c r="AM121" s="131"/>
      <c r="AN121" s="243">
        <f t="shared" si="123"/>
        <v>0</v>
      </c>
      <c r="AO121" s="131">
        <f t="shared" si="124"/>
        <v>0</v>
      </c>
      <c r="AP121" s="131">
        <f t="shared" si="125"/>
        <v>0</v>
      </c>
      <c r="AQ121" s="131"/>
      <c r="AR121" s="131">
        <f t="shared" si="126"/>
        <v>0</v>
      </c>
      <c r="AS121" s="131">
        <f t="shared" si="172"/>
        <v>0</v>
      </c>
      <c r="AT121" s="131">
        <f t="shared" si="127"/>
        <v>0</v>
      </c>
      <c r="AU121" s="131">
        <f t="shared" si="128"/>
        <v>0</v>
      </c>
      <c r="AV121" s="131"/>
      <c r="AW121" s="131">
        <f t="shared" si="129"/>
        <v>0</v>
      </c>
      <c r="AX121" s="131">
        <f t="shared" si="183"/>
        <v>0</v>
      </c>
      <c r="AY121" s="131">
        <f t="shared" si="130"/>
        <v>0</v>
      </c>
      <c r="AZ121" s="131"/>
      <c r="BA121" s="131">
        <f t="shared" si="184"/>
        <v>0</v>
      </c>
      <c r="BB121" s="131"/>
      <c r="BC121" s="131"/>
      <c r="BD121" s="131">
        <f t="shared" si="131"/>
        <v>0</v>
      </c>
      <c r="BE121" s="131"/>
      <c r="BF121" s="131">
        <f t="shared" si="173"/>
        <v>0</v>
      </c>
      <c r="BG121" s="131">
        <f t="shared" si="174"/>
        <v>0</v>
      </c>
      <c r="BH121" s="131"/>
      <c r="BI121" s="131"/>
      <c r="BJ121" s="131"/>
      <c r="BK121" s="131">
        <f t="shared" si="175"/>
        <v>0</v>
      </c>
      <c r="BL121" s="131"/>
      <c r="BM121" s="131"/>
      <c r="BN121" s="131">
        <f t="shared" si="176"/>
        <v>0</v>
      </c>
      <c r="BO121" s="131"/>
      <c r="BP121" s="131">
        <f t="shared" si="177"/>
        <v>0</v>
      </c>
      <c r="BQ121" s="131"/>
      <c r="BR121" s="131"/>
      <c r="BS121" s="131"/>
      <c r="BT121" s="131"/>
      <c r="BU121" s="131"/>
      <c r="BV121" s="131">
        <f t="shared" si="178"/>
        <v>0</v>
      </c>
      <c r="BW121" s="131"/>
      <c r="BX121" s="131"/>
      <c r="BY121" s="131"/>
      <c r="BZ121" s="131">
        <f t="shared" si="179"/>
        <v>0</v>
      </c>
      <c r="CA121" s="131"/>
      <c r="CB121" s="136">
        <f t="shared" si="132"/>
        <v>160.55836672570746</v>
      </c>
      <c r="CC121" s="131">
        <f t="shared" si="133"/>
        <v>0</v>
      </c>
      <c r="CD121" s="136">
        <f t="shared" si="134"/>
        <v>0</v>
      </c>
      <c r="CE121" s="131">
        <f t="shared" si="182"/>
        <v>0</v>
      </c>
      <c r="CF121" s="136">
        <f t="shared" si="135"/>
        <v>0</v>
      </c>
      <c r="CG121" s="136"/>
      <c r="CH121" s="136">
        <f t="shared" si="181"/>
        <v>0</v>
      </c>
      <c r="CI121" s="131">
        <f t="shared" si="136"/>
        <v>0</v>
      </c>
      <c r="CJ121" s="131"/>
      <c r="CK121" s="136">
        <f t="shared" si="137"/>
        <v>0</v>
      </c>
      <c r="CL121" s="136">
        <f t="shared" si="138"/>
        <v>804.25411383551102</v>
      </c>
      <c r="CM121" s="131">
        <f t="shared" si="139"/>
        <v>0</v>
      </c>
      <c r="CN121" s="136">
        <f t="shared" si="140"/>
        <v>0</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f t="shared" si="146"/>
        <v>0</v>
      </c>
      <c r="DC121" s="131">
        <f t="shared" si="105"/>
        <v>0</v>
      </c>
      <c r="DD121" s="131">
        <f t="shared" si="147"/>
        <v>0</v>
      </c>
      <c r="DE121" s="131">
        <f t="shared" si="148"/>
        <v>0</v>
      </c>
      <c r="DF121" s="131">
        <f t="shared" si="149"/>
        <v>0</v>
      </c>
      <c r="DG121" s="131">
        <f t="shared" si="150"/>
        <v>0</v>
      </c>
      <c r="DH121" s="131"/>
      <c r="DI121" s="131"/>
      <c r="DJ121" s="131"/>
      <c r="DK121" s="137">
        <f t="shared" si="180"/>
        <v>4620.5129979953599</v>
      </c>
      <c r="DL121" s="227" t="e">
        <f t="shared" si="151"/>
        <v>#REF!</v>
      </c>
      <c r="DM121" s="227" t="e">
        <f t="shared" si="152"/>
        <v>#REF!</v>
      </c>
      <c r="DN121" s="228" t="e">
        <f t="shared" si="106"/>
        <v>#REF!</v>
      </c>
      <c r="DO121" s="228">
        <f t="shared" si="153"/>
        <v>194.35242757490622</v>
      </c>
      <c r="DP121" s="228" t="e">
        <f t="shared" si="154"/>
        <v>#REF!</v>
      </c>
      <c r="DQ121" s="228" t="e">
        <f t="shared" si="155"/>
        <v>#REF!</v>
      </c>
    </row>
    <row r="122" spans="1:121">
      <c r="A122" s="132">
        <f t="shared" si="107"/>
        <v>112</v>
      </c>
      <c r="B122" s="18">
        <f t="shared" si="156"/>
        <v>112</v>
      </c>
      <c r="C122" s="18">
        <f>IF(A122=0," ",VLOOKUP(B122,'tosafot '!$A$7:$B$234,2,0))</f>
        <v>4.2016999999999998</v>
      </c>
      <c r="D122" s="220">
        <f t="shared" si="157"/>
        <v>228</v>
      </c>
      <c r="E122" s="130">
        <f t="shared" si="158"/>
        <v>12.2026</v>
      </c>
      <c r="F122" s="126">
        <f t="shared" si="159"/>
        <v>22</v>
      </c>
      <c r="G122" s="18" t="str">
        <f t="shared" si="160"/>
        <v>התחבורה</v>
      </c>
      <c r="H122" s="189">
        <f t="shared" si="161"/>
        <v>122</v>
      </c>
      <c r="I122" s="18">
        <f t="shared" si="162"/>
        <v>1</v>
      </c>
      <c r="J122" s="18" t="str">
        <f t="shared" si="163"/>
        <v>מינהלי - עובדי מדינה</v>
      </c>
      <c r="K122" s="189">
        <f t="shared" si="164"/>
        <v>1</v>
      </c>
      <c r="L122" s="18">
        <f t="shared" si="165"/>
        <v>12</v>
      </c>
      <c r="M122" s="129" t="str">
        <f t="shared" si="166"/>
        <v>17+</v>
      </c>
      <c r="N122" s="189"/>
      <c r="O122" s="132">
        <f t="shared" si="167"/>
        <v>1012</v>
      </c>
      <c r="P122" s="127">
        <f t="shared" si="168"/>
        <v>37</v>
      </c>
      <c r="Q122" s="127">
        <f t="shared" si="169"/>
        <v>36.75</v>
      </c>
      <c r="R122" s="128">
        <f t="shared" si="170"/>
        <v>148</v>
      </c>
      <c r="S122" s="130">
        <f t="shared" si="171"/>
        <v>1.4414995494685181</v>
      </c>
      <c r="T122" s="135">
        <f t="shared" si="108"/>
        <v>0</v>
      </c>
      <c r="U122" s="127">
        <f t="shared" si="109"/>
        <v>0</v>
      </c>
      <c r="V122" s="217">
        <v>0</v>
      </c>
      <c r="W122" s="191">
        <v>0</v>
      </c>
      <c r="X122" s="133">
        <v>0</v>
      </c>
      <c r="Y122" s="131">
        <f t="shared" si="110"/>
        <v>2438.5</v>
      </c>
      <c r="Z122" s="131">
        <f t="shared" si="111"/>
        <v>1076.5966513789815</v>
      </c>
      <c r="AA122" s="242">
        <f t="shared" si="112"/>
        <v>3515.0966513789817</v>
      </c>
      <c r="AB122" s="131">
        <f t="shared" si="113"/>
        <v>0</v>
      </c>
      <c r="AC122" s="131">
        <f t="shared" si="114"/>
        <v>140.60386605515927</v>
      </c>
      <c r="AD122" s="131">
        <f t="shared" si="115"/>
        <v>0</v>
      </c>
      <c r="AE122" s="131">
        <f t="shared" si="116"/>
        <v>0</v>
      </c>
      <c r="AF122" s="131">
        <f t="shared" si="117"/>
        <v>0</v>
      </c>
      <c r="AG122" s="131">
        <f t="shared" si="118"/>
        <v>0</v>
      </c>
      <c r="AH122" s="131">
        <f t="shared" si="119"/>
        <v>0</v>
      </c>
      <c r="AI122" s="131">
        <f t="shared" si="120"/>
        <v>0</v>
      </c>
      <c r="AJ122" s="131">
        <f t="shared" si="121"/>
        <v>0</v>
      </c>
      <c r="AK122" s="131"/>
      <c r="AL122" s="131">
        <f t="shared" si="122"/>
        <v>0</v>
      </c>
      <c r="AM122" s="131"/>
      <c r="AN122" s="243">
        <f t="shared" si="123"/>
        <v>0</v>
      </c>
      <c r="AO122" s="131">
        <f t="shared" si="124"/>
        <v>0</v>
      </c>
      <c r="AP122" s="131">
        <f t="shared" si="125"/>
        <v>0</v>
      </c>
      <c r="AQ122" s="131"/>
      <c r="AR122" s="131">
        <f t="shared" si="126"/>
        <v>0</v>
      </c>
      <c r="AS122" s="131">
        <f t="shared" si="172"/>
        <v>0</v>
      </c>
      <c r="AT122" s="131">
        <f t="shared" si="127"/>
        <v>0</v>
      </c>
      <c r="AU122" s="131">
        <f t="shared" si="128"/>
        <v>0</v>
      </c>
      <c r="AV122" s="131"/>
      <c r="AW122" s="131">
        <f t="shared" si="129"/>
        <v>0</v>
      </c>
      <c r="AX122" s="131">
        <f t="shared" si="183"/>
        <v>0</v>
      </c>
      <c r="AY122" s="131">
        <f t="shared" si="130"/>
        <v>0</v>
      </c>
      <c r="AZ122" s="131"/>
      <c r="BA122" s="131">
        <f t="shared" si="184"/>
        <v>0</v>
      </c>
      <c r="BB122" s="131"/>
      <c r="BC122" s="131"/>
      <c r="BD122" s="131">
        <f t="shared" si="131"/>
        <v>0</v>
      </c>
      <c r="BE122" s="131"/>
      <c r="BF122" s="131">
        <f t="shared" si="173"/>
        <v>0</v>
      </c>
      <c r="BG122" s="131">
        <f t="shared" si="174"/>
        <v>0</v>
      </c>
      <c r="BH122" s="131"/>
      <c r="BI122" s="131"/>
      <c r="BJ122" s="131"/>
      <c r="BK122" s="131">
        <f t="shared" si="175"/>
        <v>0</v>
      </c>
      <c r="BL122" s="131"/>
      <c r="BM122" s="131"/>
      <c r="BN122" s="131">
        <f t="shared" si="176"/>
        <v>0</v>
      </c>
      <c r="BO122" s="131"/>
      <c r="BP122" s="131">
        <f t="shared" si="177"/>
        <v>0</v>
      </c>
      <c r="BQ122" s="131"/>
      <c r="BR122" s="131"/>
      <c r="BS122" s="131"/>
      <c r="BT122" s="131"/>
      <c r="BU122" s="131"/>
      <c r="BV122" s="131">
        <f t="shared" si="178"/>
        <v>0</v>
      </c>
      <c r="BW122" s="131"/>
      <c r="BX122" s="131"/>
      <c r="BY122" s="131"/>
      <c r="BZ122" s="131">
        <f t="shared" si="179"/>
        <v>0</v>
      </c>
      <c r="CA122" s="131"/>
      <c r="CB122" s="136">
        <f t="shared" si="132"/>
        <v>160.55836672570746</v>
      </c>
      <c r="CC122" s="131">
        <f t="shared" si="133"/>
        <v>0</v>
      </c>
      <c r="CD122" s="136">
        <f t="shared" si="134"/>
        <v>0</v>
      </c>
      <c r="CE122" s="131">
        <f t="shared" si="182"/>
        <v>0</v>
      </c>
      <c r="CF122" s="136">
        <f t="shared" si="135"/>
        <v>0</v>
      </c>
      <c r="CG122" s="136"/>
      <c r="CH122" s="136">
        <f t="shared" si="181"/>
        <v>0</v>
      </c>
      <c r="CI122" s="131">
        <f t="shared" si="136"/>
        <v>0</v>
      </c>
      <c r="CJ122" s="131"/>
      <c r="CK122" s="136">
        <f t="shared" si="137"/>
        <v>0</v>
      </c>
      <c r="CL122" s="136">
        <f t="shared" si="138"/>
        <v>804.25411383551102</v>
      </c>
      <c r="CM122" s="131">
        <f t="shared" si="139"/>
        <v>0</v>
      </c>
      <c r="CN122" s="136">
        <f t="shared" si="140"/>
        <v>0</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f t="shared" si="146"/>
        <v>0</v>
      </c>
      <c r="DC122" s="131">
        <f t="shared" si="105"/>
        <v>0</v>
      </c>
      <c r="DD122" s="131">
        <f t="shared" si="147"/>
        <v>0</v>
      </c>
      <c r="DE122" s="131">
        <f t="shared" si="148"/>
        <v>0</v>
      </c>
      <c r="DF122" s="131">
        <f t="shared" si="149"/>
        <v>0</v>
      </c>
      <c r="DG122" s="131">
        <f t="shared" si="150"/>
        <v>0</v>
      </c>
      <c r="DH122" s="131"/>
      <c r="DI122" s="131"/>
      <c r="DJ122" s="131"/>
      <c r="DK122" s="137">
        <f t="shared" si="180"/>
        <v>4620.5129979953599</v>
      </c>
      <c r="DL122" s="227" t="e">
        <f t="shared" si="151"/>
        <v>#REF!</v>
      </c>
      <c r="DM122" s="227" t="e">
        <f t="shared" si="152"/>
        <v>#REF!</v>
      </c>
      <c r="DN122" s="228" t="e">
        <f t="shared" si="106"/>
        <v>#REF!</v>
      </c>
      <c r="DO122" s="228">
        <f t="shared" si="153"/>
        <v>194.35242757490622</v>
      </c>
      <c r="DP122" s="228" t="e">
        <f t="shared" si="154"/>
        <v>#REF!</v>
      </c>
      <c r="DQ122" s="228" t="e">
        <f t="shared" si="155"/>
        <v>#REF!</v>
      </c>
    </row>
    <row r="123" spans="1:121">
      <c r="A123" s="132">
        <f t="shared" si="107"/>
        <v>113</v>
      </c>
      <c r="B123" s="18">
        <f t="shared" si="156"/>
        <v>113</v>
      </c>
      <c r="C123" s="18">
        <f>IF(A123=0," ",VLOOKUP(B123,'tosafot '!$A$7:$B$234,2,0))</f>
        <v>5.2016999999999998</v>
      </c>
      <c r="D123" s="220">
        <f t="shared" si="157"/>
        <v>228</v>
      </c>
      <c r="E123" s="130">
        <f t="shared" si="158"/>
        <v>12.2026</v>
      </c>
      <c r="F123" s="126">
        <f t="shared" si="159"/>
        <v>22</v>
      </c>
      <c r="G123" s="18" t="str">
        <f t="shared" si="160"/>
        <v>התחבורה</v>
      </c>
      <c r="H123" s="189">
        <f t="shared" si="161"/>
        <v>122</v>
      </c>
      <c r="I123" s="18">
        <f t="shared" si="162"/>
        <v>1</v>
      </c>
      <c r="J123" s="18" t="str">
        <f t="shared" si="163"/>
        <v>מינהלי - עובדי מדינה</v>
      </c>
      <c r="K123" s="189">
        <f t="shared" si="164"/>
        <v>1</v>
      </c>
      <c r="L123" s="18">
        <f t="shared" si="165"/>
        <v>12</v>
      </c>
      <c r="M123" s="129" t="str">
        <f t="shared" si="166"/>
        <v>17+</v>
      </c>
      <c r="N123" s="189"/>
      <c r="O123" s="132">
        <f t="shared" si="167"/>
        <v>1012</v>
      </c>
      <c r="P123" s="127">
        <f t="shared" si="168"/>
        <v>37</v>
      </c>
      <c r="Q123" s="127">
        <f t="shared" si="169"/>
        <v>36.75</v>
      </c>
      <c r="R123" s="128">
        <f t="shared" si="170"/>
        <v>148</v>
      </c>
      <c r="S123" s="130">
        <f t="shared" si="171"/>
        <v>1.4414995494685181</v>
      </c>
      <c r="T123" s="135">
        <f t="shared" si="108"/>
        <v>0</v>
      </c>
      <c r="U123" s="127">
        <f t="shared" si="109"/>
        <v>0</v>
      </c>
      <c r="V123" s="217">
        <v>0</v>
      </c>
      <c r="W123" s="191">
        <v>0</v>
      </c>
      <c r="X123" s="133">
        <v>0</v>
      </c>
      <c r="Y123" s="131">
        <f t="shared" si="110"/>
        <v>2438.5</v>
      </c>
      <c r="Z123" s="131">
        <f t="shared" si="111"/>
        <v>1076.5966513789815</v>
      </c>
      <c r="AA123" s="242">
        <f t="shared" si="112"/>
        <v>3515.0966513789817</v>
      </c>
      <c r="AB123" s="131">
        <f t="shared" si="113"/>
        <v>0</v>
      </c>
      <c r="AC123" s="131">
        <f t="shared" si="114"/>
        <v>140.60386605515927</v>
      </c>
      <c r="AD123" s="131">
        <f t="shared" si="115"/>
        <v>0</v>
      </c>
      <c r="AE123" s="131">
        <f t="shared" si="116"/>
        <v>0</v>
      </c>
      <c r="AF123" s="131">
        <f t="shared" si="117"/>
        <v>0</v>
      </c>
      <c r="AG123" s="131">
        <f t="shared" si="118"/>
        <v>0</v>
      </c>
      <c r="AH123" s="131">
        <f t="shared" si="119"/>
        <v>0</v>
      </c>
      <c r="AI123" s="131">
        <f t="shared" si="120"/>
        <v>0</v>
      </c>
      <c r="AJ123" s="131">
        <f t="shared" si="121"/>
        <v>0</v>
      </c>
      <c r="AK123" s="131"/>
      <c r="AL123" s="131">
        <f t="shared" si="122"/>
        <v>0</v>
      </c>
      <c r="AM123" s="131"/>
      <c r="AN123" s="243">
        <f t="shared" si="123"/>
        <v>0</v>
      </c>
      <c r="AO123" s="131">
        <f t="shared" si="124"/>
        <v>0</v>
      </c>
      <c r="AP123" s="131">
        <f t="shared" si="125"/>
        <v>0</v>
      </c>
      <c r="AQ123" s="131"/>
      <c r="AR123" s="131">
        <f t="shared" si="126"/>
        <v>0</v>
      </c>
      <c r="AS123" s="131">
        <f t="shared" si="172"/>
        <v>0</v>
      </c>
      <c r="AT123" s="131">
        <f t="shared" si="127"/>
        <v>0</v>
      </c>
      <c r="AU123" s="131">
        <f t="shared" si="128"/>
        <v>0</v>
      </c>
      <c r="AV123" s="131"/>
      <c r="AW123" s="131">
        <f t="shared" si="129"/>
        <v>0</v>
      </c>
      <c r="AX123" s="131">
        <f t="shared" si="183"/>
        <v>0</v>
      </c>
      <c r="AY123" s="131">
        <f t="shared" si="130"/>
        <v>0</v>
      </c>
      <c r="AZ123" s="131"/>
      <c r="BA123" s="131">
        <f t="shared" si="184"/>
        <v>0</v>
      </c>
      <c r="BB123" s="131"/>
      <c r="BC123" s="131"/>
      <c r="BD123" s="131">
        <f t="shared" si="131"/>
        <v>0</v>
      </c>
      <c r="BE123" s="131"/>
      <c r="BF123" s="131">
        <f t="shared" si="173"/>
        <v>0</v>
      </c>
      <c r="BG123" s="131">
        <f t="shared" si="174"/>
        <v>0</v>
      </c>
      <c r="BH123" s="131"/>
      <c r="BI123" s="131"/>
      <c r="BJ123" s="131"/>
      <c r="BK123" s="131">
        <f t="shared" si="175"/>
        <v>0</v>
      </c>
      <c r="BL123" s="131"/>
      <c r="BM123" s="131"/>
      <c r="BN123" s="131">
        <f t="shared" si="176"/>
        <v>0</v>
      </c>
      <c r="BO123" s="131"/>
      <c r="BP123" s="131">
        <f t="shared" si="177"/>
        <v>0</v>
      </c>
      <c r="BQ123" s="131"/>
      <c r="BR123" s="131"/>
      <c r="BS123" s="131"/>
      <c r="BT123" s="131"/>
      <c r="BU123" s="131"/>
      <c r="BV123" s="131">
        <f t="shared" si="178"/>
        <v>0</v>
      </c>
      <c r="BW123" s="131"/>
      <c r="BX123" s="131"/>
      <c r="BY123" s="131"/>
      <c r="BZ123" s="131">
        <f t="shared" si="179"/>
        <v>0</v>
      </c>
      <c r="CA123" s="131"/>
      <c r="CB123" s="136">
        <f t="shared" si="132"/>
        <v>160.55836672570746</v>
      </c>
      <c r="CC123" s="131">
        <f t="shared" si="133"/>
        <v>0</v>
      </c>
      <c r="CD123" s="136">
        <f t="shared" si="134"/>
        <v>0</v>
      </c>
      <c r="CE123" s="131">
        <f t="shared" si="182"/>
        <v>0</v>
      </c>
      <c r="CF123" s="136">
        <f t="shared" si="135"/>
        <v>0</v>
      </c>
      <c r="CG123" s="136"/>
      <c r="CH123" s="136">
        <f t="shared" si="181"/>
        <v>0</v>
      </c>
      <c r="CI123" s="131">
        <f t="shared" si="136"/>
        <v>0</v>
      </c>
      <c r="CJ123" s="131"/>
      <c r="CK123" s="136">
        <f t="shared" si="137"/>
        <v>0</v>
      </c>
      <c r="CL123" s="136">
        <f t="shared" si="138"/>
        <v>804.25411383551102</v>
      </c>
      <c r="CM123" s="131">
        <f t="shared" si="139"/>
        <v>0</v>
      </c>
      <c r="CN123" s="136">
        <f t="shared" si="140"/>
        <v>0</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f t="shared" si="146"/>
        <v>0</v>
      </c>
      <c r="DC123" s="131">
        <f t="shared" si="105"/>
        <v>0</v>
      </c>
      <c r="DD123" s="131">
        <f t="shared" si="147"/>
        <v>0</v>
      </c>
      <c r="DE123" s="131">
        <f t="shared" si="148"/>
        <v>0</v>
      </c>
      <c r="DF123" s="131">
        <f t="shared" si="149"/>
        <v>0</v>
      </c>
      <c r="DG123" s="131">
        <f t="shared" si="150"/>
        <v>0</v>
      </c>
      <c r="DH123" s="131"/>
      <c r="DI123" s="131"/>
      <c r="DJ123" s="131"/>
      <c r="DK123" s="137">
        <f t="shared" si="180"/>
        <v>4620.5129979953599</v>
      </c>
      <c r="DL123" s="227" t="e">
        <f t="shared" si="151"/>
        <v>#REF!</v>
      </c>
      <c r="DM123" s="227" t="e">
        <f t="shared" si="152"/>
        <v>#REF!</v>
      </c>
      <c r="DN123" s="228" t="e">
        <f t="shared" si="106"/>
        <v>#REF!</v>
      </c>
      <c r="DO123" s="228">
        <f t="shared" si="153"/>
        <v>194.35242757490622</v>
      </c>
      <c r="DP123" s="228" t="e">
        <f t="shared" si="154"/>
        <v>#REF!</v>
      </c>
      <c r="DQ123" s="228" t="e">
        <f t="shared" si="155"/>
        <v>#REF!</v>
      </c>
    </row>
    <row r="124" spans="1:121">
      <c r="A124" s="132">
        <f t="shared" si="107"/>
        <v>114</v>
      </c>
      <c r="B124" s="18">
        <f t="shared" si="156"/>
        <v>114</v>
      </c>
      <c r="C124" s="18">
        <f>IF(A124=0," ",VLOOKUP(B124,'tosafot '!$A$7:$B$234,2,0))</f>
        <v>6.2016999999999998</v>
      </c>
      <c r="D124" s="220">
        <f t="shared" si="157"/>
        <v>228</v>
      </c>
      <c r="E124" s="130">
        <f t="shared" si="158"/>
        <v>12.2026</v>
      </c>
      <c r="F124" s="126">
        <f t="shared" si="159"/>
        <v>22</v>
      </c>
      <c r="G124" s="18" t="str">
        <f t="shared" si="160"/>
        <v>התחבורה</v>
      </c>
      <c r="H124" s="189">
        <f t="shared" si="161"/>
        <v>122</v>
      </c>
      <c r="I124" s="18">
        <f t="shared" si="162"/>
        <v>1</v>
      </c>
      <c r="J124" s="18" t="str">
        <f t="shared" si="163"/>
        <v>מינהלי - עובדי מדינה</v>
      </c>
      <c r="K124" s="189">
        <f t="shared" si="164"/>
        <v>1</v>
      </c>
      <c r="L124" s="18">
        <f t="shared" si="165"/>
        <v>12</v>
      </c>
      <c r="M124" s="129" t="str">
        <f t="shared" si="166"/>
        <v>17+</v>
      </c>
      <c r="N124" s="189"/>
      <c r="O124" s="132">
        <f t="shared" si="167"/>
        <v>1012</v>
      </c>
      <c r="P124" s="127">
        <f t="shared" si="168"/>
        <v>37</v>
      </c>
      <c r="Q124" s="127">
        <f t="shared" si="169"/>
        <v>36.75</v>
      </c>
      <c r="R124" s="128">
        <f t="shared" si="170"/>
        <v>148</v>
      </c>
      <c r="S124" s="130">
        <f t="shared" si="171"/>
        <v>1.4414995494685181</v>
      </c>
      <c r="T124" s="135">
        <f t="shared" si="108"/>
        <v>0</v>
      </c>
      <c r="U124" s="127">
        <f t="shared" si="109"/>
        <v>0</v>
      </c>
      <c r="V124" s="217">
        <v>0</v>
      </c>
      <c r="W124" s="191">
        <v>0</v>
      </c>
      <c r="X124" s="133">
        <v>0</v>
      </c>
      <c r="Y124" s="131">
        <f t="shared" si="110"/>
        <v>2438.5</v>
      </c>
      <c r="Z124" s="131">
        <f t="shared" si="111"/>
        <v>1076.5966513789815</v>
      </c>
      <c r="AA124" s="242">
        <f t="shared" si="112"/>
        <v>3515.0966513789817</v>
      </c>
      <c r="AB124" s="131">
        <f t="shared" si="113"/>
        <v>0</v>
      </c>
      <c r="AC124" s="131">
        <f t="shared" si="114"/>
        <v>140.60386605515927</v>
      </c>
      <c r="AD124" s="131">
        <f t="shared" si="115"/>
        <v>0</v>
      </c>
      <c r="AE124" s="131">
        <f t="shared" si="116"/>
        <v>0</v>
      </c>
      <c r="AF124" s="131">
        <f t="shared" si="117"/>
        <v>0</v>
      </c>
      <c r="AG124" s="131">
        <f t="shared" si="118"/>
        <v>0</v>
      </c>
      <c r="AH124" s="131">
        <f t="shared" si="119"/>
        <v>0</v>
      </c>
      <c r="AI124" s="131">
        <f t="shared" si="120"/>
        <v>0</v>
      </c>
      <c r="AJ124" s="131">
        <f t="shared" si="121"/>
        <v>0</v>
      </c>
      <c r="AK124" s="131"/>
      <c r="AL124" s="131">
        <f t="shared" si="122"/>
        <v>0</v>
      </c>
      <c r="AM124" s="131"/>
      <c r="AN124" s="243">
        <f t="shared" si="123"/>
        <v>0</v>
      </c>
      <c r="AO124" s="131">
        <f t="shared" si="124"/>
        <v>0</v>
      </c>
      <c r="AP124" s="131">
        <f t="shared" si="125"/>
        <v>0</v>
      </c>
      <c r="AQ124" s="131"/>
      <c r="AR124" s="131">
        <f t="shared" si="126"/>
        <v>0</v>
      </c>
      <c r="AS124" s="131">
        <f t="shared" si="172"/>
        <v>0</v>
      </c>
      <c r="AT124" s="131">
        <f t="shared" si="127"/>
        <v>0</v>
      </c>
      <c r="AU124" s="131">
        <f t="shared" si="128"/>
        <v>0</v>
      </c>
      <c r="AV124" s="131"/>
      <c r="AW124" s="131">
        <f t="shared" si="129"/>
        <v>0</v>
      </c>
      <c r="AX124" s="131">
        <f t="shared" si="183"/>
        <v>0</v>
      </c>
      <c r="AY124" s="131">
        <f t="shared" si="130"/>
        <v>0</v>
      </c>
      <c r="AZ124" s="131"/>
      <c r="BA124" s="131">
        <f t="shared" si="184"/>
        <v>0</v>
      </c>
      <c r="BB124" s="131"/>
      <c r="BC124" s="131"/>
      <c r="BD124" s="131">
        <f t="shared" si="131"/>
        <v>0</v>
      </c>
      <c r="BE124" s="131"/>
      <c r="BF124" s="131">
        <f t="shared" si="173"/>
        <v>0</v>
      </c>
      <c r="BG124" s="131">
        <f t="shared" si="174"/>
        <v>0</v>
      </c>
      <c r="BH124" s="131"/>
      <c r="BI124" s="131"/>
      <c r="BJ124" s="131"/>
      <c r="BK124" s="131">
        <f t="shared" si="175"/>
        <v>0</v>
      </c>
      <c r="BL124" s="131"/>
      <c r="BM124" s="131"/>
      <c r="BN124" s="131">
        <f t="shared" si="176"/>
        <v>0</v>
      </c>
      <c r="BO124" s="131"/>
      <c r="BP124" s="131">
        <f t="shared" si="177"/>
        <v>0</v>
      </c>
      <c r="BQ124" s="131"/>
      <c r="BR124" s="131"/>
      <c r="BS124" s="131"/>
      <c r="BT124" s="131"/>
      <c r="BU124" s="131"/>
      <c r="BV124" s="131">
        <f t="shared" si="178"/>
        <v>0</v>
      </c>
      <c r="BW124" s="131"/>
      <c r="BX124" s="131"/>
      <c r="BY124" s="131"/>
      <c r="BZ124" s="131">
        <f t="shared" si="179"/>
        <v>0</v>
      </c>
      <c r="CA124" s="131"/>
      <c r="CB124" s="136">
        <f t="shared" si="132"/>
        <v>160.55836672570746</v>
      </c>
      <c r="CC124" s="131">
        <f t="shared" si="133"/>
        <v>0</v>
      </c>
      <c r="CD124" s="136">
        <f t="shared" si="134"/>
        <v>0</v>
      </c>
      <c r="CE124" s="131">
        <f t="shared" si="182"/>
        <v>0</v>
      </c>
      <c r="CF124" s="136">
        <f t="shared" si="135"/>
        <v>0</v>
      </c>
      <c r="CG124" s="136"/>
      <c r="CH124" s="136">
        <f t="shared" si="181"/>
        <v>0</v>
      </c>
      <c r="CI124" s="131">
        <f t="shared" si="136"/>
        <v>0</v>
      </c>
      <c r="CJ124" s="131"/>
      <c r="CK124" s="136">
        <f t="shared" si="137"/>
        <v>0</v>
      </c>
      <c r="CL124" s="136">
        <f t="shared" si="138"/>
        <v>804.25411383551102</v>
      </c>
      <c r="CM124" s="131">
        <f t="shared" si="139"/>
        <v>0</v>
      </c>
      <c r="CN124" s="136">
        <f t="shared" si="140"/>
        <v>0</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f t="shared" si="146"/>
        <v>0</v>
      </c>
      <c r="DC124" s="131">
        <f t="shared" si="105"/>
        <v>0</v>
      </c>
      <c r="DD124" s="131">
        <f t="shared" si="147"/>
        <v>0</v>
      </c>
      <c r="DE124" s="131">
        <f t="shared" si="148"/>
        <v>0</v>
      </c>
      <c r="DF124" s="131">
        <f t="shared" si="149"/>
        <v>0</v>
      </c>
      <c r="DG124" s="131">
        <f t="shared" si="150"/>
        <v>0</v>
      </c>
      <c r="DH124" s="131"/>
      <c r="DI124" s="131"/>
      <c r="DJ124" s="131"/>
      <c r="DK124" s="137">
        <f t="shared" si="180"/>
        <v>4620.5129979953599</v>
      </c>
      <c r="DL124" s="227" t="e">
        <f t="shared" si="151"/>
        <v>#REF!</v>
      </c>
      <c r="DM124" s="227" t="e">
        <f t="shared" si="152"/>
        <v>#REF!</v>
      </c>
      <c r="DN124" s="228" t="e">
        <f t="shared" si="106"/>
        <v>#REF!</v>
      </c>
      <c r="DO124" s="228">
        <f t="shared" si="153"/>
        <v>194.35242757490622</v>
      </c>
      <c r="DP124" s="228" t="e">
        <f t="shared" si="154"/>
        <v>#REF!</v>
      </c>
      <c r="DQ124" s="228" t="e">
        <f t="shared" si="155"/>
        <v>#REF!</v>
      </c>
    </row>
    <row r="125" spans="1:121">
      <c r="A125" s="132">
        <f t="shared" si="107"/>
        <v>115</v>
      </c>
      <c r="B125" s="18">
        <f t="shared" si="156"/>
        <v>115</v>
      </c>
      <c r="C125" s="18">
        <f>IF(A125=0," ",VLOOKUP(B125,'tosafot '!$A$7:$B$234,2,0))</f>
        <v>7.2016999999999998</v>
      </c>
      <c r="D125" s="220">
        <f t="shared" si="157"/>
        <v>228</v>
      </c>
      <c r="E125" s="130">
        <f t="shared" si="158"/>
        <v>12.2026</v>
      </c>
      <c r="F125" s="126">
        <f t="shared" si="159"/>
        <v>22</v>
      </c>
      <c r="G125" s="18" t="str">
        <f t="shared" si="160"/>
        <v>התחבורה</v>
      </c>
      <c r="H125" s="189">
        <f t="shared" si="161"/>
        <v>122</v>
      </c>
      <c r="I125" s="18">
        <f t="shared" si="162"/>
        <v>1</v>
      </c>
      <c r="J125" s="18" t="str">
        <f t="shared" si="163"/>
        <v>מינהלי - עובדי מדינה</v>
      </c>
      <c r="K125" s="189">
        <f t="shared" si="164"/>
        <v>1</v>
      </c>
      <c r="L125" s="18">
        <f t="shared" si="165"/>
        <v>12</v>
      </c>
      <c r="M125" s="129" t="str">
        <f t="shared" si="166"/>
        <v>17+</v>
      </c>
      <c r="N125" s="189"/>
      <c r="O125" s="132">
        <f t="shared" si="167"/>
        <v>1012</v>
      </c>
      <c r="P125" s="127">
        <f t="shared" si="168"/>
        <v>37</v>
      </c>
      <c r="Q125" s="127">
        <f t="shared" si="169"/>
        <v>36.75</v>
      </c>
      <c r="R125" s="128">
        <f t="shared" si="170"/>
        <v>148</v>
      </c>
      <c r="S125" s="130">
        <f t="shared" si="171"/>
        <v>1.4414995494685181</v>
      </c>
      <c r="T125" s="135">
        <f t="shared" si="108"/>
        <v>0</v>
      </c>
      <c r="U125" s="127">
        <f t="shared" si="109"/>
        <v>0</v>
      </c>
      <c r="V125" s="217">
        <v>0</v>
      </c>
      <c r="W125" s="191">
        <v>0</v>
      </c>
      <c r="X125" s="133">
        <v>0</v>
      </c>
      <c r="Y125" s="131">
        <f t="shared" si="110"/>
        <v>2438.5</v>
      </c>
      <c r="Z125" s="131">
        <f t="shared" si="111"/>
        <v>1076.5966513789815</v>
      </c>
      <c r="AA125" s="242">
        <f t="shared" si="112"/>
        <v>3515.0966513789817</v>
      </c>
      <c r="AB125" s="131">
        <f t="shared" si="113"/>
        <v>0</v>
      </c>
      <c r="AC125" s="131">
        <f t="shared" si="114"/>
        <v>140.60386605515927</v>
      </c>
      <c r="AD125" s="131">
        <f t="shared" si="115"/>
        <v>0</v>
      </c>
      <c r="AE125" s="131">
        <f t="shared" si="116"/>
        <v>0</v>
      </c>
      <c r="AF125" s="131">
        <f t="shared" si="117"/>
        <v>0</v>
      </c>
      <c r="AG125" s="131">
        <f t="shared" si="118"/>
        <v>0</v>
      </c>
      <c r="AH125" s="131">
        <f t="shared" si="119"/>
        <v>0</v>
      </c>
      <c r="AI125" s="131">
        <f t="shared" si="120"/>
        <v>0</v>
      </c>
      <c r="AJ125" s="131">
        <f t="shared" si="121"/>
        <v>0</v>
      </c>
      <c r="AK125" s="131"/>
      <c r="AL125" s="131">
        <f t="shared" si="122"/>
        <v>0</v>
      </c>
      <c r="AM125" s="131"/>
      <c r="AN125" s="243">
        <f t="shared" si="123"/>
        <v>0</v>
      </c>
      <c r="AO125" s="131">
        <f t="shared" si="124"/>
        <v>0</v>
      </c>
      <c r="AP125" s="131">
        <f t="shared" si="125"/>
        <v>0</v>
      </c>
      <c r="AQ125" s="131"/>
      <c r="AR125" s="131">
        <f t="shared" si="126"/>
        <v>0</v>
      </c>
      <c r="AS125" s="131">
        <f t="shared" si="172"/>
        <v>0</v>
      </c>
      <c r="AT125" s="131">
        <f t="shared" si="127"/>
        <v>0</v>
      </c>
      <c r="AU125" s="131">
        <f t="shared" si="128"/>
        <v>0</v>
      </c>
      <c r="AV125" s="131"/>
      <c r="AW125" s="131">
        <f t="shared" si="129"/>
        <v>0</v>
      </c>
      <c r="AX125" s="131">
        <f t="shared" si="183"/>
        <v>0</v>
      </c>
      <c r="AY125" s="131">
        <f t="shared" si="130"/>
        <v>0</v>
      </c>
      <c r="AZ125" s="131"/>
      <c r="BA125" s="131">
        <f t="shared" si="184"/>
        <v>0</v>
      </c>
      <c r="BB125" s="131"/>
      <c r="BC125" s="131"/>
      <c r="BD125" s="131">
        <f t="shared" si="131"/>
        <v>0</v>
      </c>
      <c r="BE125" s="131"/>
      <c r="BF125" s="131">
        <f t="shared" si="173"/>
        <v>0</v>
      </c>
      <c r="BG125" s="131">
        <f t="shared" si="174"/>
        <v>0</v>
      </c>
      <c r="BH125" s="131"/>
      <c r="BI125" s="131"/>
      <c r="BJ125" s="131"/>
      <c r="BK125" s="131">
        <f t="shared" si="175"/>
        <v>0</v>
      </c>
      <c r="BL125" s="131"/>
      <c r="BM125" s="131"/>
      <c r="BN125" s="131">
        <f t="shared" si="176"/>
        <v>0</v>
      </c>
      <c r="BO125" s="131"/>
      <c r="BP125" s="131">
        <f t="shared" si="177"/>
        <v>0</v>
      </c>
      <c r="BQ125" s="131"/>
      <c r="BR125" s="131"/>
      <c r="BS125" s="131"/>
      <c r="BT125" s="131"/>
      <c r="BU125" s="131"/>
      <c r="BV125" s="131">
        <f t="shared" si="178"/>
        <v>0</v>
      </c>
      <c r="BW125" s="131"/>
      <c r="BX125" s="131"/>
      <c r="BY125" s="131"/>
      <c r="BZ125" s="131">
        <f t="shared" si="179"/>
        <v>0</v>
      </c>
      <c r="CA125" s="131"/>
      <c r="CB125" s="136">
        <f t="shared" si="132"/>
        <v>160.55836672570746</v>
      </c>
      <c r="CC125" s="131">
        <f t="shared" si="133"/>
        <v>0</v>
      </c>
      <c r="CD125" s="136">
        <f t="shared" si="134"/>
        <v>0</v>
      </c>
      <c r="CE125" s="131">
        <f t="shared" si="182"/>
        <v>0</v>
      </c>
      <c r="CF125" s="136">
        <f t="shared" si="135"/>
        <v>0</v>
      </c>
      <c r="CG125" s="136"/>
      <c r="CH125" s="136">
        <f t="shared" si="181"/>
        <v>0</v>
      </c>
      <c r="CI125" s="131">
        <f t="shared" si="136"/>
        <v>0</v>
      </c>
      <c r="CJ125" s="131"/>
      <c r="CK125" s="136">
        <f t="shared" si="137"/>
        <v>0</v>
      </c>
      <c r="CL125" s="136">
        <f t="shared" si="138"/>
        <v>804.25411383551102</v>
      </c>
      <c r="CM125" s="131">
        <f t="shared" si="139"/>
        <v>0</v>
      </c>
      <c r="CN125" s="136">
        <f t="shared" si="140"/>
        <v>0</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f t="shared" si="146"/>
        <v>0</v>
      </c>
      <c r="DC125" s="131">
        <f t="shared" si="105"/>
        <v>0</v>
      </c>
      <c r="DD125" s="131">
        <f t="shared" si="147"/>
        <v>0</v>
      </c>
      <c r="DE125" s="131">
        <f t="shared" si="148"/>
        <v>0</v>
      </c>
      <c r="DF125" s="131">
        <f t="shared" si="149"/>
        <v>0</v>
      </c>
      <c r="DG125" s="131">
        <f t="shared" si="150"/>
        <v>0</v>
      </c>
      <c r="DH125" s="131"/>
      <c r="DI125" s="131"/>
      <c r="DJ125" s="131"/>
      <c r="DK125" s="137">
        <f t="shared" si="180"/>
        <v>4620.5129979953599</v>
      </c>
      <c r="DL125" s="227" t="e">
        <f t="shared" si="151"/>
        <v>#REF!</v>
      </c>
      <c r="DM125" s="227" t="e">
        <f t="shared" si="152"/>
        <v>#REF!</v>
      </c>
      <c r="DN125" s="228" t="e">
        <f t="shared" si="106"/>
        <v>#REF!</v>
      </c>
      <c r="DO125" s="228">
        <f t="shared" si="153"/>
        <v>194.35242757490622</v>
      </c>
      <c r="DP125" s="228" t="e">
        <f t="shared" si="154"/>
        <v>#REF!</v>
      </c>
      <c r="DQ125" s="228" t="e">
        <f t="shared" si="155"/>
        <v>#REF!</v>
      </c>
    </row>
    <row r="126" spans="1:121">
      <c r="A126" s="132">
        <f t="shared" si="107"/>
        <v>116</v>
      </c>
      <c r="B126" s="18">
        <f t="shared" si="156"/>
        <v>116</v>
      </c>
      <c r="C126" s="18">
        <f>IF(A126=0," ",VLOOKUP(B126,'tosafot '!$A$7:$B$234,2,0))</f>
        <v>8.2017000000000007</v>
      </c>
      <c r="D126" s="220">
        <f t="shared" si="157"/>
        <v>228</v>
      </c>
      <c r="E126" s="130">
        <f t="shared" si="158"/>
        <v>12.2026</v>
      </c>
      <c r="F126" s="126">
        <f t="shared" si="159"/>
        <v>22</v>
      </c>
      <c r="G126" s="18" t="str">
        <f t="shared" si="160"/>
        <v>התחבורה</v>
      </c>
      <c r="H126" s="189">
        <f t="shared" si="161"/>
        <v>122</v>
      </c>
      <c r="I126" s="18">
        <f t="shared" si="162"/>
        <v>1</v>
      </c>
      <c r="J126" s="18" t="str">
        <f t="shared" si="163"/>
        <v>מינהלי - עובדי מדינה</v>
      </c>
      <c r="K126" s="189">
        <f t="shared" si="164"/>
        <v>1</v>
      </c>
      <c r="L126" s="18">
        <f t="shared" si="165"/>
        <v>12</v>
      </c>
      <c r="M126" s="129" t="str">
        <f t="shared" si="166"/>
        <v>17+</v>
      </c>
      <c r="N126" s="189"/>
      <c r="O126" s="132">
        <f t="shared" si="167"/>
        <v>1012</v>
      </c>
      <c r="P126" s="127">
        <f t="shared" si="168"/>
        <v>37</v>
      </c>
      <c r="Q126" s="127">
        <f t="shared" si="169"/>
        <v>36.75</v>
      </c>
      <c r="R126" s="128">
        <f t="shared" si="170"/>
        <v>148</v>
      </c>
      <c r="S126" s="130">
        <f t="shared" si="171"/>
        <v>1.4414995494685181</v>
      </c>
      <c r="T126" s="135">
        <f t="shared" si="108"/>
        <v>0</v>
      </c>
      <c r="U126" s="127">
        <f t="shared" si="109"/>
        <v>0</v>
      </c>
      <c r="V126" s="217">
        <v>0</v>
      </c>
      <c r="W126" s="191">
        <v>0</v>
      </c>
      <c r="X126" s="133">
        <v>0</v>
      </c>
      <c r="Y126" s="131">
        <f t="shared" si="110"/>
        <v>2438.5</v>
      </c>
      <c r="Z126" s="131">
        <f t="shared" si="111"/>
        <v>1076.5966513789815</v>
      </c>
      <c r="AA126" s="242">
        <f t="shared" si="112"/>
        <v>3515.0966513789817</v>
      </c>
      <c r="AB126" s="131">
        <f t="shared" si="113"/>
        <v>0</v>
      </c>
      <c r="AC126" s="131">
        <f t="shared" si="114"/>
        <v>140.60386605515927</v>
      </c>
      <c r="AD126" s="131">
        <f t="shared" si="115"/>
        <v>0</v>
      </c>
      <c r="AE126" s="131">
        <f t="shared" si="116"/>
        <v>0</v>
      </c>
      <c r="AF126" s="131">
        <f t="shared" si="117"/>
        <v>0</v>
      </c>
      <c r="AG126" s="131">
        <f t="shared" si="118"/>
        <v>0</v>
      </c>
      <c r="AH126" s="131">
        <f t="shared" si="119"/>
        <v>0</v>
      </c>
      <c r="AI126" s="131">
        <f t="shared" si="120"/>
        <v>0</v>
      </c>
      <c r="AJ126" s="131">
        <f t="shared" si="121"/>
        <v>0</v>
      </c>
      <c r="AK126" s="131"/>
      <c r="AL126" s="131">
        <f t="shared" si="122"/>
        <v>0</v>
      </c>
      <c r="AM126" s="131"/>
      <c r="AN126" s="243">
        <f t="shared" si="123"/>
        <v>0</v>
      </c>
      <c r="AO126" s="131">
        <f t="shared" si="124"/>
        <v>0</v>
      </c>
      <c r="AP126" s="131">
        <f t="shared" si="125"/>
        <v>0</v>
      </c>
      <c r="AQ126" s="131"/>
      <c r="AR126" s="131">
        <f t="shared" si="126"/>
        <v>0</v>
      </c>
      <c r="AS126" s="131">
        <f t="shared" si="172"/>
        <v>0</v>
      </c>
      <c r="AT126" s="131">
        <f t="shared" si="127"/>
        <v>0</v>
      </c>
      <c r="AU126" s="131">
        <f t="shared" si="128"/>
        <v>0</v>
      </c>
      <c r="AV126" s="131"/>
      <c r="AW126" s="131">
        <f t="shared" si="129"/>
        <v>0</v>
      </c>
      <c r="AX126" s="131">
        <f t="shared" si="183"/>
        <v>0</v>
      </c>
      <c r="AY126" s="131">
        <f t="shared" si="130"/>
        <v>0</v>
      </c>
      <c r="AZ126" s="131"/>
      <c r="BA126" s="131">
        <f t="shared" si="184"/>
        <v>0</v>
      </c>
      <c r="BB126" s="131"/>
      <c r="BC126" s="131"/>
      <c r="BD126" s="131">
        <f t="shared" si="131"/>
        <v>0</v>
      </c>
      <c r="BE126" s="131"/>
      <c r="BF126" s="131">
        <f t="shared" si="173"/>
        <v>0</v>
      </c>
      <c r="BG126" s="131">
        <f t="shared" si="174"/>
        <v>0</v>
      </c>
      <c r="BH126" s="131"/>
      <c r="BI126" s="131"/>
      <c r="BJ126" s="131"/>
      <c r="BK126" s="131">
        <f t="shared" si="175"/>
        <v>0</v>
      </c>
      <c r="BL126" s="131"/>
      <c r="BM126" s="131"/>
      <c r="BN126" s="131">
        <f t="shared" si="176"/>
        <v>0</v>
      </c>
      <c r="BO126" s="131"/>
      <c r="BP126" s="131">
        <f t="shared" si="177"/>
        <v>0</v>
      </c>
      <c r="BQ126" s="131"/>
      <c r="BR126" s="131"/>
      <c r="BS126" s="131"/>
      <c r="BT126" s="131"/>
      <c r="BU126" s="131"/>
      <c r="BV126" s="131">
        <f t="shared" si="178"/>
        <v>0</v>
      </c>
      <c r="BW126" s="131"/>
      <c r="BX126" s="131"/>
      <c r="BY126" s="131"/>
      <c r="BZ126" s="131">
        <f t="shared" si="179"/>
        <v>0</v>
      </c>
      <c r="CA126" s="131"/>
      <c r="CB126" s="136">
        <f t="shared" si="132"/>
        <v>160.55836672570746</v>
      </c>
      <c r="CC126" s="131">
        <f t="shared" si="133"/>
        <v>0</v>
      </c>
      <c r="CD126" s="136">
        <f t="shared" si="134"/>
        <v>0</v>
      </c>
      <c r="CE126" s="131">
        <f t="shared" si="182"/>
        <v>0</v>
      </c>
      <c r="CF126" s="136">
        <f t="shared" si="135"/>
        <v>0</v>
      </c>
      <c r="CG126" s="136"/>
      <c r="CH126" s="136">
        <f t="shared" si="181"/>
        <v>0</v>
      </c>
      <c r="CI126" s="131">
        <f t="shared" si="136"/>
        <v>0</v>
      </c>
      <c r="CJ126" s="131"/>
      <c r="CK126" s="136">
        <f t="shared" si="137"/>
        <v>0</v>
      </c>
      <c r="CL126" s="136">
        <f t="shared" si="138"/>
        <v>804.25411383551102</v>
      </c>
      <c r="CM126" s="131">
        <f t="shared" si="139"/>
        <v>0</v>
      </c>
      <c r="CN126" s="136">
        <f t="shared" si="140"/>
        <v>0</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f t="shared" si="146"/>
        <v>0</v>
      </c>
      <c r="DC126" s="131">
        <f t="shared" si="105"/>
        <v>0</v>
      </c>
      <c r="DD126" s="131">
        <f t="shared" si="147"/>
        <v>0</v>
      </c>
      <c r="DE126" s="131">
        <f t="shared" si="148"/>
        <v>0</v>
      </c>
      <c r="DF126" s="131">
        <f t="shared" si="149"/>
        <v>0</v>
      </c>
      <c r="DG126" s="131">
        <f t="shared" si="150"/>
        <v>0</v>
      </c>
      <c r="DH126" s="131"/>
      <c r="DI126" s="131"/>
      <c r="DJ126" s="131"/>
      <c r="DK126" s="137">
        <f t="shared" si="180"/>
        <v>4620.5129979953599</v>
      </c>
      <c r="DL126" s="227" t="e">
        <f t="shared" si="151"/>
        <v>#REF!</v>
      </c>
      <c r="DM126" s="227" t="e">
        <f t="shared" si="152"/>
        <v>#REF!</v>
      </c>
      <c r="DN126" s="228" t="e">
        <f t="shared" si="106"/>
        <v>#REF!</v>
      </c>
      <c r="DO126" s="228">
        <f t="shared" si="153"/>
        <v>194.35242757490622</v>
      </c>
      <c r="DP126" s="228" t="e">
        <f t="shared" si="154"/>
        <v>#REF!</v>
      </c>
      <c r="DQ126" s="228" t="e">
        <f t="shared" si="155"/>
        <v>#REF!</v>
      </c>
    </row>
    <row r="127" spans="1:121">
      <c r="A127" s="132">
        <f t="shared" si="107"/>
        <v>117</v>
      </c>
      <c r="B127" s="18">
        <f t="shared" si="156"/>
        <v>117</v>
      </c>
      <c r="C127" s="18">
        <f>IF(A127=0," ",VLOOKUP(B127,'tosafot '!$A$7:$B$234,2,0))</f>
        <v>9.2017000000000007</v>
      </c>
      <c r="D127" s="220">
        <f t="shared" si="157"/>
        <v>228</v>
      </c>
      <c r="E127" s="130">
        <f t="shared" si="158"/>
        <v>12.2026</v>
      </c>
      <c r="F127" s="126">
        <f t="shared" si="159"/>
        <v>22</v>
      </c>
      <c r="G127" s="18" t="str">
        <f t="shared" si="160"/>
        <v>התחבורה</v>
      </c>
      <c r="H127" s="189">
        <f t="shared" si="161"/>
        <v>122</v>
      </c>
      <c r="I127" s="18">
        <f t="shared" si="162"/>
        <v>1</v>
      </c>
      <c r="J127" s="18" t="str">
        <f t="shared" si="163"/>
        <v>מינהלי - עובדי מדינה</v>
      </c>
      <c r="K127" s="189">
        <f t="shared" si="164"/>
        <v>1</v>
      </c>
      <c r="L127" s="18">
        <f t="shared" si="165"/>
        <v>12</v>
      </c>
      <c r="M127" s="129" t="str">
        <f t="shared" si="166"/>
        <v>17+</v>
      </c>
      <c r="N127" s="189"/>
      <c r="O127" s="132">
        <f t="shared" si="167"/>
        <v>1012</v>
      </c>
      <c r="P127" s="127">
        <f t="shared" si="168"/>
        <v>37</v>
      </c>
      <c r="Q127" s="127">
        <f t="shared" si="169"/>
        <v>36.75</v>
      </c>
      <c r="R127" s="128">
        <f t="shared" si="170"/>
        <v>148</v>
      </c>
      <c r="S127" s="130">
        <f t="shared" si="171"/>
        <v>1.4414995494685181</v>
      </c>
      <c r="T127" s="135">
        <f t="shared" si="108"/>
        <v>0</v>
      </c>
      <c r="U127" s="127">
        <f t="shared" si="109"/>
        <v>0</v>
      </c>
      <c r="V127" s="217">
        <v>0</v>
      </c>
      <c r="W127" s="191">
        <v>0</v>
      </c>
      <c r="X127" s="133">
        <v>0</v>
      </c>
      <c r="Y127" s="131">
        <f t="shared" si="110"/>
        <v>2438.5</v>
      </c>
      <c r="Z127" s="131">
        <f t="shared" si="111"/>
        <v>1076.5966513789815</v>
      </c>
      <c r="AA127" s="242">
        <f t="shared" si="112"/>
        <v>3515.0966513789817</v>
      </c>
      <c r="AB127" s="131">
        <f t="shared" si="113"/>
        <v>0</v>
      </c>
      <c r="AC127" s="131">
        <f t="shared" si="114"/>
        <v>140.60386605515927</v>
      </c>
      <c r="AD127" s="131">
        <f t="shared" si="115"/>
        <v>0</v>
      </c>
      <c r="AE127" s="131">
        <f t="shared" si="116"/>
        <v>0</v>
      </c>
      <c r="AF127" s="131">
        <f t="shared" si="117"/>
        <v>0</v>
      </c>
      <c r="AG127" s="131">
        <f t="shared" si="118"/>
        <v>0</v>
      </c>
      <c r="AH127" s="131">
        <f t="shared" si="119"/>
        <v>0</v>
      </c>
      <c r="AI127" s="131">
        <f t="shared" si="120"/>
        <v>0</v>
      </c>
      <c r="AJ127" s="131">
        <f t="shared" si="121"/>
        <v>0</v>
      </c>
      <c r="AK127" s="131"/>
      <c r="AL127" s="131">
        <f t="shared" si="122"/>
        <v>0</v>
      </c>
      <c r="AM127" s="131"/>
      <c r="AN127" s="243">
        <f t="shared" si="123"/>
        <v>0</v>
      </c>
      <c r="AO127" s="131">
        <f t="shared" si="124"/>
        <v>0</v>
      </c>
      <c r="AP127" s="131">
        <f t="shared" si="125"/>
        <v>0</v>
      </c>
      <c r="AQ127" s="131"/>
      <c r="AR127" s="131">
        <f t="shared" si="126"/>
        <v>0</v>
      </c>
      <c r="AS127" s="131">
        <f t="shared" si="172"/>
        <v>0</v>
      </c>
      <c r="AT127" s="131">
        <f t="shared" si="127"/>
        <v>0</v>
      </c>
      <c r="AU127" s="131">
        <f t="shared" si="128"/>
        <v>0</v>
      </c>
      <c r="AV127" s="131"/>
      <c r="AW127" s="131">
        <f t="shared" si="129"/>
        <v>0</v>
      </c>
      <c r="AX127" s="131">
        <f t="shared" si="183"/>
        <v>0</v>
      </c>
      <c r="AY127" s="131">
        <f t="shared" si="130"/>
        <v>0</v>
      </c>
      <c r="AZ127" s="131"/>
      <c r="BA127" s="131">
        <f t="shared" si="184"/>
        <v>0</v>
      </c>
      <c r="BB127" s="131"/>
      <c r="BC127" s="131"/>
      <c r="BD127" s="131">
        <f t="shared" si="131"/>
        <v>0</v>
      </c>
      <c r="BE127" s="131"/>
      <c r="BF127" s="131">
        <f t="shared" si="173"/>
        <v>0</v>
      </c>
      <c r="BG127" s="131">
        <f t="shared" si="174"/>
        <v>0</v>
      </c>
      <c r="BH127" s="131"/>
      <c r="BI127" s="131"/>
      <c r="BJ127" s="131"/>
      <c r="BK127" s="131">
        <f t="shared" si="175"/>
        <v>0</v>
      </c>
      <c r="BL127" s="131"/>
      <c r="BM127" s="131"/>
      <c r="BN127" s="131">
        <f t="shared" si="176"/>
        <v>0</v>
      </c>
      <c r="BO127" s="131"/>
      <c r="BP127" s="131">
        <f t="shared" si="177"/>
        <v>0</v>
      </c>
      <c r="BQ127" s="131"/>
      <c r="BR127" s="131"/>
      <c r="BS127" s="131"/>
      <c r="BT127" s="131"/>
      <c r="BU127" s="131"/>
      <c r="BV127" s="131">
        <f t="shared" si="178"/>
        <v>0</v>
      </c>
      <c r="BW127" s="131"/>
      <c r="BX127" s="131"/>
      <c r="BY127" s="131"/>
      <c r="BZ127" s="131">
        <f t="shared" si="179"/>
        <v>0</v>
      </c>
      <c r="CA127" s="131"/>
      <c r="CB127" s="136">
        <f t="shared" si="132"/>
        <v>160.55836672570746</v>
      </c>
      <c r="CC127" s="131">
        <f t="shared" si="133"/>
        <v>0</v>
      </c>
      <c r="CD127" s="136">
        <f t="shared" si="134"/>
        <v>0</v>
      </c>
      <c r="CE127" s="131">
        <f t="shared" si="182"/>
        <v>0</v>
      </c>
      <c r="CF127" s="136">
        <f t="shared" si="135"/>
        <v>0</v>
      </c>
      <c r="CG127" s="136"/>
      <c r="CH127" s="136">
        <f t="shared" si="181"/>
        <v>0</v>
      </c>
      <c r="CI127" s="131">
        <f t="shared" si="136"/>
        <v>0</v>
      </c>
      <c r="CJ127" s="131"/>
      <c r="CK127" s="136">
        <f t="shared" si="137"/>
        <v>0</v>
      </c>
      <c r="CL127" s="136">
        <f t="shared" si="138"/>
        <v>804.25411383551102</v>
      </c>
      <c r="CM127" s="131">
        <f t="shared" si="139"/>
        <v>0</v>
      </c>
      <c r="CN127" s="136">
        <f t="shared" si="140"/>
        <v>0</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f t="shared" si="146"/>
        <v>0</v>
      </c>
      <c r="DC127" s="131">
        <f t="shared" si="105"/>
        <v>0</v>
      </c>
      <c r="DD127" s="131">
        <f t="shared" si="147"/>
        <v>0</v>
      </c>
      <c r="DE127" s="131">
        <f t="shared" si="148"/>
        <v>0</v>
      </c>
      <c r="DF127" s="131">
        <f t="shared" si="149"/>
        <v>0</v>
      </c>
      <c r="DG127" s="131">
        <f t="shared" si="150"/>
        <v>0</v>
      </c>
      <c r="DH127" s="131"/>
      <c r="DI127" s="131"/>
      <c r="DJ127" s="131"/>
      <c r="DK127" s="137">
        <f t="shared" si="180"/>
        <v>4620.5129979953599</v>
      </c>
      <c r="DL127" s="227" t="e">
        <f t="shared" si="151"/>
        <v>#REF!</v>
      </c>
      <c r="DM127" s="227" t="e">
        <f t="shared" si="152"/>
        <v>#REF!</v>
      </c>
      <c r="DN127" s="228" t="e">
        <f t="shared" si="106"/>
        <v>#REF!</v>
      </c>
      <c r="DO127" s="228">
        <f t="shared" si="153"/>
        <v>194.35242757490622</v>
      </c>
      <c r="DP127" s="228" t="e">
        <f t="shared" si="154"/>
        <v>#REF!</v>
      </c>
      <c r="DQ127" s="228" t="e">
        <f t="shared" si="155"/>
        <v>#REF!</v>
      </c>
    </row>
    <row r="128" spans="1:121">
      <c r="A128" s="132">
        <f t="shared" si="107"/>
        <v>118</v>
      </c>
      <c r="B128" s="18">
        <f t="shared" si="156"/>
        <v>118</v>
      </c>
      <c r="C128" s="18">
        <f>IF(A128=0," ",VLOOKUP(B128,'tosafot '!$A$7:$B$234,2,0))</f>
        <v>10.201700000000001</v>
      </c>
      <c r="D128" s="220">
        <f t="shared" si="157"/>
        <v>228</v>
      </c>
      <c r="E128" s="130">
        <f t="shared" si="158"/>
        <v>12.2026</v>
      </c>
      <c r="F128" s="126">
        <f t="shared" si="159"/>
        <v>22</v>
      </c>
      <c r="G128" s="18" t="str">
        <f t="shared" si="160"/>
        <v>התחבורה</v>
      </c>
      <c r="H128" s="189">
        <f t="shared" si="161"/>
        <v>122</v>
      </c>
      <c r="I128" s="18">
        <f t="shared" si="162"/>
        <v>1</v>
      </c>
      <c r="J128" s="18" t="str">
        <f t="shared" si="163"/>
        <v>מינהלי - עובדי מדינה</v>
      </c>
      <c r="K128" s="189">
        <f t="shared" si="164"/>
        <v>1</v>
      </c>
      <c r="L128" s="18">
        <f t="shared" si="165"/>
        <v>12</v>
      </c>
      <c r="M128" s="129" t="str">
        <f t="shared" si="166"/>
        <v>17+</v>
      </c>
      <c r="N128" s="189"/>
      <c r="O128" s="132">
        <f t="shared" si="167"/>
        <v>1012</v>
      </c>
      <c r="P128" s="127">
        <f t="shared" si="168"/>
        <v>37</v>
      </c>
      <c r="Q128" s="127">
        <f t="shared" si="169"/>
        <v>36.75</v>
      </c>
      <c r="R128" s="128">
        <f t="shared" si="170"/>
        <v>148</v>
      </c>
      <c r="S128" s="130">
        <f t="shared" si="171"/>
        <v>1.4414995494685181</v>
      </c>
      <c r="T128" s="135">
        <f t="shared" si="108"/>
        <v>0</v>
      </c>
      <c r="U128" s="127">
        <f t="shared" si="109"/>
        <v>0</v>
      </c>
      <c r="V128" s="217">
        <v>0</v>
      </c>
      <c r="W128" s="191">
        <v>0</v>
      </c>
      <c r="X128" s="133">
        <v>0</v>
      </c>
      <c r="Y128" s="131">
        <f t="shared" si="110"/>
        <v>2438.5</v>
      </c>
      <c r="Z128" s="131">
        <f t="shared" si="111"/>
        <v>1076.5966513789815</v>
      </c>
      <c r="AA128" s="242">
        <f t="shared" si="112"/>
        <v>3515.0966513789817</v>
      </c>
      <c r="AB128" s="131">
        <f t="shared" si="113"/>
        <v>0</v>
      </c>
      <c r="AC128" s="131">
        <f t="shared" si="114"/>
        <v>140.60386605515927</v>
      </c>
      <c r="AD128" s="131">
        <f t="shared" si="115"/>
        <v>0</v>
      </c>
      <c r="AE128" s="131">
        <f t="shared" si="116"/>
        <v>0</v>
      </c>
      <c r="AF128" s="131">
        <f t="shared" si="117"/>
        <v>0</v>
      </c>
      <c r="AG128" s="131">
        <f t="shared" si="118"/>
        <v>0</v>
      </c>
      <c r="AH128" s="131">
        <f t="shared" si="119"/>
        <v>0</v>
      </c>
      <c r="AI128" s="131">
        <f t="shared" si="120"/>
        <v>0</v>
      </c>
      <c r="AJ128" s="131">
        <f t="shared" si="121"/>
        <v>0</v>
      </c>
      <c r="AK128" s="131"/>
      <c r="AL128" s="131">
        <f t="shared" si="122"/>
        <v>0</v>
      </c>
      <c r="AM128" s="131"/>
      <c r="AN128" s="243">
        <f t="shared" si="123"/>
        <v>0</v>
      </c>
      <c r="AO128" s="131">
        <f t="shared" si="124"/>
        <v>0</v>
      </c>
      <c r="AP128" s="131">
        <f t="shared" si="125"/>
        <v>0</v>
      </c>
      <c r="AQ128" s="131"/>
      <c r="AR128" s="131">
        <f t="shared" si="126"/>
        <v>0</v>
      </c>
      <c r="AS128" s="131">
        <f t="shared" si="172"/>
        <v>0</v>
      </c>
      <c r="AT128" s="131">
        <f t="shared" si="127"/>
        <v>0</v>
      </c>
      <c r="AU128" s="131">
        <f t="shared" si="128"/>
        <v>0</v>
      </c>
      <c r="AV128" s="131"/>
      <c r="AW128" s="131">
        <f t="shared" si="129"/>
        <v>0</v>
      </c>
      <c r="AX128" s="131">
        <f t="shared" si="183"/>
        <v>0</v>
      </c>
      <c r="AY128" s="131">
        <f t="shared" si="130"/>
        <v>0</v>
      </c>
      <c r="AZ128" s="131"/>
      <c r="BA128" s="131">
        <f t="shared" si="184"/>
        <v>0</v>
      </c>
      <c r="BB128" s="131"/>
      <c r="BC128" s="131"/>
      <c r="BD128" s="131">
        <f t="shared" si="131"/>
        <v>0</v>
      </c>
      <c r="BE128" s="131"/>
      <c r="BF128" s="131">
        <f t="shared" si="173"/>
        <v>0</v>
      </c>
      <c r="BG128" s="131">
        <f t="shared" si="174"/>
        <v>0</v>
      </c>
      <c r="BH128" s="131"/>
      <c r="BI128" s="131"/>
      <c r="BJ128" s="131"/>
      <c r="BK128" s="131">
        <f t="shared" si="175"/>
        <v>0</v>
      </c>
      <c r="BL128" s="131"/>
      <c r="BM128" s="131"/>
      <c r="BN128" s="131">
        <f t="shared" si="176"/>
        <v>0</v>
      </c>
      <c r="BO128" s="131"/>
      <c r="BP128" s="131">
        <f t="shared" si="177"/>
        <v>0</v>
      </c>
      <c r="BQ128" s="131"/>
      <c r="BR128" s="131"/>
      <c r="BS128" s="131"/>
      <c r="BT128" s="131"/>
      <c r="BU128" s="131"/>
      <c r="BV128" s="131">
        <f t="shared" si="178"/>
        <v>0</v>
      </c>
      <c r="BW128" s="131"/>
      <c r="BX128" s="131"/>
      <c r="BY128" s="131"/>
      <c r="BZ128" s="131">
        <f t="shared" si="179"/>
        <v>0</v>
      </c>
      <c r="CA128" s="131"/>
      <c r="CB128" s="136">
        <f t="shared" si="132"/>
        <v>160.55836672570746</v>
      </c>
      <c r="CC128" s="131">
        <f t="shared" si="133"/>
        <v>0</v>
      </c>
      <c r="CD128" s="136">
        <f t="shared" si="134"/>
        <v>0</v>
      </c>
      <c r="CE128" s="131">
        <f t="shared" si="182"/>
        <v>0</v>
      </c>
      <c r="CF128" s="136">
        <f t="shared" si="135"/>
        <v>0</v>
      </c>
      <c r="CG128" s="136"/>
      <c r="CH128" s="136">
        <f t="shared" si="181"/>
        <v>0</v>
      </c>
      <c r="CI128" s="131">
        <f t="shared" si="136"/>
        <v>0</v>
      </c>
      <c r="CJ128" s="131"/>
      <c r="CK128" s="136">
        <f t="shared" si="137"/>
        <v>0</v>
      </c>
      <c r="CL128" s="136">
        <f t="shared" si="138"/>
        <v>804.25411383551102</v>
      </c>
      <c r="CM128" s="131">
        <f t="shared" si="139"/>
        <v>0</v>
      </c>
      <c r="CN128" s="136">
        <f t="shared" si="140"/>
        <v>0</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f t="shared" si="146"/>
        <v>0</v>
      </c>
      <c r="DC128" s="131">
        <f t="shared" si="105"/>
        <v>0</v>
      </c>
      <c r="DD128" s="131">
        <f t="shared" si="147"/>
        <v>0</v>
      </c>
      <c r="DE128" s="131">
        <f t="shared" si="148"/>
        <v>0</v>
      </c>
      <c r="DF128" s="131">
        <f t="shared" si="149"/>
        <v>0</v>
      </c>
      <c r="DG128" s="131">
        <f t="shared" si="150"/>
        <v>0</v>
      </c>
      <c r="DH128" s="131"/>
      <c r="DI128" s="131"/>
      <c r="DJ128" s="131"/>
      <c r="DK128" s="137">
        <f t="shared" si="180"/>
        <v>4620.5129979953599</v>
      </c>
      <c r="DL128" s="227" t="e">
        <f t="shared" si="151"/>
        <v>#REF!</v>
      </c>
      <c r="DM128" s="227" t="e">
        <f t="shared" si="152"/>
        <v>#REF!</v>
      </c>
      <c r="DN128" s="228" t="e">
        <f t="shared" si="106"/>
        <v>#REF!</v>
      </c>
      <c r="DO128" s="228">
        <f t="shared" si="153"/>
        <v>194.35242757490622</v>
      </c>
      <c r="DP128" s="228" t="e">
        <f t="shared" si="154"/>
        <v>#REF!</v>
      </c>
      <c r="DQ128" s="228" t="e">
        <f t="shared" si="155"/>
        <v>#REF!</v>
      </c>
    </row>
    <row r="129" spans="1:121">
      <c r="A129" s="132">
        <f t="shared" si="107"/>
        <v>119</v>
      </c>
      <c r="B129" s="18">
        <f t="shared" si="156"/>
        <v>119</v>
      </c>
      <c r="C129" s="18">
        <f>IF(A129=0," ",VLOOKUP(B129,'tosafot '!$A$7:$B$234,2,0))</f>
        <v>11.201700000000001</v>
      </c>
      <c r="D129" s="220">
        <f t="shared" si="157"/>
        <v>228</v>
      </c>
      <c r="E129" s="130">
        <f t="shared" si="158"/>
        <v>12.2026</v>
      </c>
      <c r="F129" s="126">
        <f t="shared" si="159"/>
        <v>22</v>
      </c>
      <c r="G129" s="18" t="str">
        <f t="shared" si="160"/>
        <v>התחבורה</v>
      </c>
      <c r="H129" s="189">
        <f t="shared" si="161"/>
        <v>122</v>
      </c>
      <c r="I129" s="18">
        <f t="shared" si="162"/>
        <v>1</v>
      </c>
      <c r="J129" s="18" t="str">
        <f t="shared" si="163"/>
        <v>מינהלי - עובדי מדינה</v>
      </c>
      <c r="K129" s="189">
        <f t="shared" si="164"/>
        <v>1</v>
      </c>
      <c r="L129" s="18">
        <f t="shared" si="165"/>
        <v>12</v>
      </c>
      <c r="M129" s="129" t="str">
        <f t="shared" si="166"/>
        <v>17+</v>
      </c>
      <c r="N129" s="189"/>
      <c r="O129" s="132">
        <f t="shared" si="167"/>
        <v>1012</v>
      </c>
      <c r="P129" s="127">
        <f t="shared" si="168"/>
        <v>37</v>
      </c>
      <c r="Q129" s="127">
        <f t="shared" si="169"/>
        <v>36.75</v>
      </c>
      <c r="R129" s="128">
        <f t="shared" si="170"/>
        <v>148</v>
      </c>
      <c r="S129" s="130">
        <f t="shared" si="171"/>
        <v>1.4414995494685181</v>
      </c>
      <c r="T129" s="135">
        <f t="shared" si="108"/>
        <v>0</v>
      </c>
      <c r="U129" s="127">
        <f t="shared" si="109"/>
        <v>0</v>
      </c>
      <c r="V129" s="217">
        <v>0</v>
      </c>
      <c r="W129" s="191">
        <v>0</v>
      </c>
      <c r="X129" s="133">
        <v>0</v>
      </c>
      <c r="Y129" s="131">
        <f t="shared" si="110"/>
        <v>2438.5</v>
      </c>
      <c r="Z129" s="131">
        <f t="shared" si="111"/>
        <v>1076.5966513789815</v>
      </c>
      <c r="AA129" s="242">
        <f t="shared" si="112"/>
        <v>3515.0966513789817</v>
      </c>
      <c r="AB129" s="131">
        <f t="shared" si="113"/>
        <v>0</v>
      </c>
      <c r="AC129" s="131">
        <f t="shared" si="114"/>
        <v>140.60386605515927</v>
      </c>
      <c r="AD129" s="131">
        <f t="shared" si="115"/>
        <v>0</v>
      </c>
      <c r="AE129" s="131">
        <f t="shared" si="116"/>
        <v>0</v>
      </c>
      <c r="AF129" s="131">
        <f t="shared" si="117"/>
        <v>0</v>
      </c>
      <c r="AG129" s="131">
        <f t="shared" si="118"/>
        <v>0</v>
      </c>
      <c r="AH129" s="131">
        <f t="shared" si="119"/>
        <v>0</v>
      </c>
      <c r="AI129" s="131">
        <f t="shared" si="120"/>
        <v>0</v>
      </c>
      <c r="AJ129" s="131">
        <f t="shared" si="121"/>
        <v>0</v>
      </c>
      <c r="AK129" s="131"/>
      <c r="AL129" s="131">
        <f t="shared" si="122"/>
        <v>0</v>
      </c>
      <c r="AM129" s="131"/>
      <c r="AN129" s="243">
        <f t="shared" si="123"/>
        <v>0</v>
      </c>
      <c r="AO129" s="131">
        <f t="shared" si="124"/>
        <v>0</v>
      </c>
      <c r="AP129" s="131">
        <f t="shared" si="125"/>
        <v>0</v>
      </c>
      <c r="AQ129" s="131"/>
      <c r="AR129" s="131">
        <f t="shared" si="126"/>
        <v>0</v>
      </c>
      <c r="AS129" s="131">
        <f t="shared" si="172"/>
        <v>0</v>
      </c>
      <c r="AT129" s="131">
        <f t="shared" si="127"/>
        <v>0</v>
      </c>
      <c r="AU129" s="131">
        <f t="shared" si="128"/>
        <v>0</v>
      </c>
      <c r="AV129" s="131"/>
      <c r="AW129" s="131">
        <f t="shared" si="129"/>
        <v>0</v>
      </c>
      <c r="AX129" s="131">
        <f t="shared" si="183"/>
        <v>0</v>
      </c>
      <c r="AY129" s="131">
        <f t="shared" si="130"/>
        <v>0</v>
      </c>
      <c r="AZ129" s="131"/>
      <c r="BA129" s="131">
        <f t="shared" si="184"/>
        <v>0</v>
      </c>
      <c r="BB129" s="131"/>
      <c r="BC129" s="131"/>
      <c r="BD129" s="131">
        <f t="shared" si="131"/>
        <v>0</v>
      </c>
      <c r="BE129" s="131"/>
      <c r="BF129" s="131">
        <f t="shared" si="173"/>
        <v>0</v>
      </c>
      <c r="BG129" s="131">
        <f t="shared" si="174"/>
        <v>0</v>
      </c>
      <c r="BH129" s="131"/>
      <c r="BI129" s="131"/>
      <c r="BJ129" s="131"/>
      <c r="BK129" s="131">
        <f t="shared" si="175"/>
        <v>0</v>
      </c>
      <c r="BL129" s="131"/>
      <c r="BM129" s="131"/>
      <c r="BN129" s="131">
        <f t="shared" si="176"/>
        <v>0</v>
      </c>
      <c r="BO129" s="131"/>
      <c r="BP129" s="131">
        <f t="shared" si="177"/>
        <v>0</v>
      </c>
      <c r="BQ129" s="131"/>
      <c r="BR129" s="131"/>
      <c r="BS129" s="131"/>
      <c r="BT129" s="131"/>
      <c r="BU129" s="131"/>
      <c r="BV129" s="131">
        <f t="shared" si="178"/>
        <v>0</v>
      </c>
      <c r="BW129" s="131"/>
      <c r="BX129" s="131"/>
      <c r="BY129" s="131"/>
      <c r="BZ129" s="131">
        <f t="shared" si="179"/>
        <v>0</v>
      </c>
      <c r="CA129" s="131"/>
      <c r="CB129" s="136">
        <f t="shared" si="132"/>
        <v>160.55836672570746</v>
      </c>
      <c r="CC129" s="131">
        <f t="shared" si="133"/>
        <v>0</v>
      </c>
      <c r="CD129" s="136">
        <f t="shared" si="134"/>
        <v>0</v>
      </c>
      <c r="CE129" s="131">
        <f t="shared" si="182"/>
        <v>0</v>
      </c>
      <c r="CF129" s="136">
        <f t="shared" si="135"/>
        <v>0</v>
      </c>
      <c r="CG129" s="136"/>
      <c r="CH129" s="136">
        <f t="shared" si="181"/>
        <v>0</v>
      </c>
      <c r="CI129" s="131">
        <f t="shared" si="136"/>
        <v>0</v>
      </c>
      <c r="CJ129" s="131"/>
      <c r="CK129" s="136">
        <f t="shared" si="137"/>
        <v>0</v>
      </c>
      <c r="CL129" s="136">
        <f t="shared" si="138"/>
        <v>804.25411383551102</v>
      </c>
      <c r="CM129" s="131">
        <f t="shared" si="139"/>
        <v>0</v>
      </c>
      <c r="CN129" s="136">
        <f t="shared" si="140"/>
        <v>0</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f t="shared" si="146"/>
        <v>0</v>
      </c>
      <c r="DC129" s="131">
        <f t="shared" si="105"/>
        <v>0</v>
      </c>
      <c r="DD129" s="131">
        <f t="shared" si="147"/>
        <v>0</v>
      </c>
      <c r="DE129" s="131">
        <f t="shared" si="148"/>
        <v>0</v>
      </c>
      <c r="DF129" s="131">
        <f t="shared" si="149"/>
        <v>0</v>
      </c>
      <c r="DG129" s="131">
        <f t="shared" si="150"/>
        <v>0</v>
      </c>
      <c r="DH129" s="131"/>
      <c r="DI129" s="131"/>
      <c r="DJ129" s="131"/>
      <c r="DK129" s="137">
        <f t="shared" si="180"/>
        <v>4620.5129979953599</v>
      </c>
      <c r="DL129" s="227" t="e">
        <f t="shared" si="151"/>
        <v>#REF!</v>
      </c>
      <c r="DM129" s="227" t="e">
        <f t="shared" si="152"/>
        <v>#REF!</v>
      </c>
      <c r="DN129" s="228" t="e">
        <f t="shared" si="106"/>
        <v>#REF!</v>
      </c>
      <c r="DO129" s="228">
        <f t="shared" si="153"/>
        <v>194.35242757490622</v>
      </c>
      <c r="DP129" s="228" t="e">
        <f t="shared" si="154"/>
        <v>#REF!</v>
      </c>
      <c r="DQ129" s="228" t="e">
        <f t="shared" si="155"/>
        <v>#REF!</v>
      </c>
    </row>
    <row r="130" spans="1:121">
      <c r="A130" s="132">
        <f t="shared" si="107"/>
        <v>120</v>
      </c>
      <c r="B130" s="18">
        <f t="shared" si="156"/>
        <v>120</v>
      </c>
      <c r="C130" s="18">
        <f>IF(A130=0," ",VLOOKUP(B130,'tosafot '!$A$7:$B$234,2,0))</f>
        <v>12.201700000000001</v>
      </c>
      <c r="D130" s="220">
        <f t="shared" si="157"/>
        <v>228</v>
      </c>
      <c r="E130" s="130">
        <f t="shared" si="158"/>
        <v>12.2026</v>
      </c>
      <c r="F130" s="126">
        <f t="shared" si="159"/>
        <v>22</v>
      </c>
      <c r="G130" s="18" t="str">
        <f t="shared" si="160"/>
        <v>התחבורה</v>
      </c>
      <c r="H130" s="189">
        <f t="shared" si="161"/>
        <v>122</v>
      </c>
      <c r="I130" s="18">
        <f t="shared" si="162"/>
        <v>1</v>
      </c>
      <c r="J130" s="18" t="str">
        <f t="shared" si="163"/>
        <v>מינהלי - עובדי מדינה</v>
      </c>
      <c r="K130" s="189">
        <f t="shared" si="164"/>
        <v>1</v>
      </c>
      <c r="L130" s="18">
        <f t="shared" si="165"/>
        <v>12</v>
      </c>
      <c r="M130" s="129" t="str">
        <f t="shared" si="166"/>
        <v>17+</v>
      </c>
      <c r="N130" s="189"/>
      <c r="O130" s="132">
        <f t="shared" si="167"/>
        <v>1012</v>
      </c>
      <c r="P130" s="127">
        <f t="shared" si="168"/>
        <v>37</v>
      </c>
      <c r="Q130" s="127">
        <f t="shared" si="169"/>
        <v>36.75</v>
      </c>
      <c r="R130" s="128">
        <f t="shared" si="170"/>
        <v>148</v>
      </c>
      <c r="S130" s="130">
        <f t="shared" si="171"/>
        <v>1.4414995494685181</v>
      </c>
      <c r="T130" s="135">
        <f t="shared" si="108"/>
        <v>0</v>
      </c>
      <c r="U130" s="127">
        <f t="shared" si="109"/>
        <v>0</v>
      </c>
      <c r="V130" s="217">
        <v>0</v>
      </c>
      <c r="W130" s="191">
        <v>0</v>
      </c>
      <c r="X130" s="133">
        <v>0</v>
      </c>
      <c r="Y130" s="131">
        <f t="shared" si="110"/>
        <v>2438.5</v>
      </c>
      <c r="Z130" s="131">
        <f t="shared" si="111"/>
        <v>1076.5966513789815</v>
      </c>
      <c r="AA130" s="242">
        <f t="shared" si="112"/>
        <v>3515.0966513789817</v>
      </c>
      <c r="AB130" s="131">
        <f t="shared" si="113"/>
        <v>0</v>
      </c>
      <c r="AC130" s="131">
        <f t="shared" si="114"/>
        <v>140.60386605515927</v>
      </c>
      <c r="AD130" s="131">
        <f t="shared" si="115"/>
        <v>0</v>
      </c>
      <c r="AE130" s="131">
        <f t="shared" si="116"/>
        <v>0</v>
      </c>
      <c r="AF130" s="131">
        <f t="shared" si="117"/>
        <v>0</v>
      </c>
      <c r="AG130" s="131">
        <f t="shared" si="118"/>
        <v>0</v>
      </c>
      <c r="AH130" s="131">
        <f t="shared" si="119"/>
        <v>0</v>
      </c>
      <c r="AI130" s="131">
        <f t="shared" si="120"/>
        <v>0</v>
      </c>
      <c r="AJ130" s="131">
        <f t="shared" si="121"/>
        <v>0</v>
      </c>
      <c r="AK130" s="131"/>
      <c r="AL130" s="131">
        <f t="shared" si="122"/>
        <v>0</v>
      </c>
      <c r="AM130" s="131"/>
      <c r="AN130" s="243">
        <f t="shared" si="123"/>
        <v>0</v>
      </c>
      <c r="AO130" s="131">
        <f t="shared" si="124"/>
        <v>0</v>
      </c>
      <c r="AP130" s="131">
        <f t="shared" si="125"/>
        <v>0</v>
      </c>
      <c r="AQ130" s="131"/>
      <c r="AR130" s="131">
        <f t="shared" si="126"/>
        <v>0</v>
      </c>
      <c r="AS130" s="131">
        <f t="shared" si="172"/>
        <v>0</v>
      </c>
      <c r="AT130" s="131">
        <f t="shared" si="127"/>
        <v>0</v>
      </c>
      <c r="AU130" s="131">
        <f t="shared" si="128"/>
        <v>0</v>
      </c>
      <c r="AV130" s="131"/>
      <c r="AW130" s="131">
        <f t="shared" si="129"/>
        <v>0</v>
      </c>
      <c r="AX130" s="131">
        <f t="shared" si="183"/>
        <v>0</v>
      </c>
      <c r="AY130" s="131">
        <f t="shared" si="130"/>
        <v>0</v>
      </c>
      <c r="AZ130" s="131"/>
      <c r="BA130" s="131">
        <f t="shared" si="184"/>
        <v>0</v>
      </c>
      <c r="BB130" s="131"/>
      <c r="BC130" s="131"/>
      <c r="BD130" s="131">
        <f t="shared" si="131"/>
        <v>0</v>
      </c>
      <c r="BE130" s="131"/>
      <c r="BF130" s="131">
        <f t="shared" si="173"/>
        <v>0</v>
      </c>
      <c r="BG130" s="131">
        <f t="shared" si="174"/>
        <v>0</v>
      </c>
      <c r="BH130" s="131"/>
      <c r="BI130" s="131"/>
      <c r="BJ130" s="131"/>
      <c r="BK130" s="131">
        <f t="shared" si="175"/>
        <v>0</v>
      </c>
      <c r="BL130" s="131"/>
      <c r="BM130" s="131"/>
      <c r="BN130" s="131">
        <f t="shared" si="176"/>
        <v>0</v>
      </c>
      <c r="BO130" s="131"/>
      <c r="BP130" s="131">
        <f t="shared" si="177"/>
        <v>0</v>
      </c>
      <c r="BQ130" s="131"/>
      <c r="BR130" s="131"/>
      <c r="BS130" s="131"/>
      <c r="BT130" s="131"/>
      <c r="BU130" s="131"/>
      <c r="BV130" s="131">
        <f t="shared" si="178"/>
        <v>0</v>
      </c>
      <c r="BW130" s="131"/>
      <c r="BX130" s="131"/>
      <c r="BY130" s="131"/>
      <c r="BZ130" s="131">
        <f t="shared" si="179"/>
        <v>0</v>
      </c>
      <c r="CA130" s="131"/>
      <c r="CB130" s="136">
        <f t="shared" si="132"/>
        <v>160.55836672570746</v>
      </c>
      <c r="CC130" s="131">
        <f t="shared" si="133"/>
        <v>0</v>
      </c>
      <c r="CD130" s="136">
        <f t="shared" si="134"/>
        <v>0</v>
      </c>
      <c r="CE130" s="131">
        <f t="shared" si="182"/>
        <v>0</v>
      </c>
      <c r="CF130" s="136">
        <f t="shared" si="135"/>
        <v>0</v>
      </c>
      <c r="CG130" s="136"/>
      <c r="CH130" s="136">
        <f t="shared" si="181"/>
        <v>0</v>
      </c>
      <c r="CI130" s="131">
        <f t="shared" si="136"/>
        <v>0</v>
      </c>
      <c r="CJ130" s="131"/>
      <c r="CK130" s="136">
        <f t="shared" si="137"/>
        <v>0</v>
      </c>
      <c r="CL130" s="136">
        <f t="shared" si="138"/>
        <v>804.25411383551102</v>
      </c>
      <c r="CM130" s="131">
        <f t="shared" si="139"/>
        <v>0</v>
      </c>
      <c r="CN130" s="136">
        <f t="shared" si="140"/>
        <v>0</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f t="shared" si="146"/>
        <v>0</v>
      </c>
      <c r="DC130" s="131">
        <f t="shared" si="105"/>
        <v>0</v>
      </c>
      <c r="DD130" s="131">
        <f t="shared" si="147"/>
        <v>0</v>
      </c>
      <c r="DE130" s="131">
        <f t="shared" si="148"/>
        <v>0</v>
      </c>
      <c r="DF130" s="131">
        <f t="shared" si="149"/>
        <v>0</v>
      </c>
      <c r="DG130" s="131">
        <f t="shared" si="150"/>
        <v>0</v>
      </c>
      <c r="DH130" s="131"/>
      <c r="DI130" s="131"/>
      <c r="DJ130" s="131"/>
      <c r="DK130" s="137">
        <f t="shared" si="180"/>
        <v>4620.5129979953599</v>
      </c>
      <c r="DL130" s="227" t="e">
        <f t="shared" si="151"/>
        <v>#REF!</v>
      </c>
      <c r="DM130" s="227" t="e">
        <f t="shared" si="152"/>
        <v>#REF!</v>
      </c>
      <c r="DN130" s="228" t="e">
        <f t="shared" si="106"/>
        <v>#REF!</v>
      </c>
      <c r="DO130" s="228">
        <f t="shared" si="153"/>
        <v>194.35242757490622</v>
      </c>
      <c r="DP130" s="228" t="e">
        <f t="shared" si="154"/>
        <v>#REF!</v>
      </c>
      <c r="DQ130" s="228" t="e">
        <f t="shared" si="155"/>
        <v>#REF!</v>
      </c>
    </row>
    <row r="131" spans="1:121">
      <c r="A131" s="132">
        <f t="shared" si="107"/>
        <v>121</v>
      </c>
      <c r="B131" s="18">
        <f t="shared" si="156"/>
        <v>121</v>
      </c>
      <c r="C131" s="18">
        <f>IF(A131=0," ",VLOOKUP(B131,'tosafot '!$A$7:$B$234,2,0))</f>
        <v>1.2018</v>
      </c>
      <c r="D131" s="220">
        <f t="shared" si="157"/>
        <v>228</v>
      </c>
      <c r="E131" s="130">
        <f t="shared" si="158"/>
        <v>12.2026</v>
      </c>
      <c r="F131" s="126">
        <f t="shared" si="159"/>
        <v>22</v>
      </c>
      <c r="G131" s="18" t="str">
        <f t="shared" si="160"/>
        <v>התחבורה</v>
      </c>
      <c r="H131" s="189">
        <f t="shared" si="161"/>
        <v>122</v>
      </c>
      <c r="I131" s="18">
        <f t="shared" si="162"/>
        <v>1</v>
      </c>
      <c r="J131" s="18" t="str">
        <f t="shared" si="163"/>
        <v>מינהלי - עובדי מדינה</v>
      </c>
      <c r="K131" s="189">
        <f t="shared" si="164"/>
        <v>1</v>
      </c>
      <c r="L131" s="18">
        <f t="shared" si="165"/>
        <v>12</v>
      </c>
      <c r="M131" s="129" t="str">
        <f t="shared" si="166"/>
        <v>17+</v>
      </c>
      <c r="N131" s="189"/>
      <c r="O131" s="132">
        <f t="shared" si="167"/>
        <v>1012</v>
      </c>
      <c r="P131" s="127">
        <f t="shared" si="168"/>
        <v>37</v>
      </c>
      <c r="Q131" s="127">
        <f t="shared" si="169"/>
        <v>36.75</v>
      </c>
      <c r="R131" s="128">
        <f t="shared" si="170"/>
        <v>148</v>
      </c>
      <c r="S131" s="130">
        <f t="shared" si="171"/>
        <v>1.4414995494685181</v>
      </c>
      <c r="T131" s="135">
        <f t="shared" si="108"/>
        <v>0</v>
      </c>
      <c r="U131" s="127">
        <f t="shared" si="109"/>
        <v>0</v>
      </c>
      <c r="V131" s="217">
        <v>0</v>
      </c>
      <c r="W131" s="191">
        <v>0</v>
      </c>
      <c r="X131" s="133">
        <v>0</v>
      </c>
      <c r="Y131" s="131">
        <f t="shared" si="110"/>
        <v>2438.5</v>
      </c>
      <c r="Z131" s="131">
        <f t="shared" si="111"/>
        <v>1076.5966513789815</v>
      </c>
      <c r="AA131" s="242">
        <f t="shared" si="112"/>
        <v>3515.0966513789817</v>
      </c>
      <c r="AB131" s="131">
        <f t="shared" si="113"/>
        <v>0</v>
      </c>
      <c r="AC131" s="131">
        <f t="shared" si="114"/>
        <v>140.60386605515927</v>
      </c>
      <c r="AD131" s="131">
        <f t="shared" si="115"/>
        <v>0</v>
      </c>
      <c r="AE131" s="131">
        <f t="shared" si="116"/>
        <v>0</v>
      </c>
      <c r="AF131" s="131">
        <f t="shared" si="117"/>
        <v>0</v>
      </c>
      <c r="AG131" s="131">
        <f t="shared" si="118"/>
        <v>0</v>
      </c>
      <c r="AH131" s="131">
        <f t="shared" si="119"/>
        <v>0</v>
      </c>
      <c r="AI131" s="131">
        <f t="shared" si="120"/>
        <v>0</v>
      </c>
      <c r="AJ131" s="131">
        <f t="shared" si="121"/>
        <v>0</v>
      </c>
      <c r="AK131" s="131"/>
      <c r="AL131" s="131">
        <f t="shared" si="122"/>
        <v>0</v>
      </c>
      <c r="AM131" s="131"/>
      <c r="AN131" s="243">
        <f t="shared" si="123"/>
        <v>0</v>
      </c>
      <c r="AO131" s="131">
        <f t="shared" si="124"/>
        <v>0</v>
      </c>
      <c r="AP131" s="131">
        <f t="shared" si="125"/>
        <v>0</v>
      </c>
      <c r="AQ131" s="131"/>
      <c r="AR131" s="131">
        <f t="shared" si="126"/>
        <v>0</v>
      </c>
      <c r="AS131" s="131">
        <f t="shared" si="172"/>
        <v>0</v>
      </c>
      <c r="AT131" s="131">
        <f t="shared" si="127"/>
        <v>0</v>
      </c>
      <c r="AU131" s="131">
        <f t="shared" si="128"/>
        <v>0</v>
      </c>
      <c r="AV131" s="131"/>
      <c r="AW131" s="131">
        <f t="shared" si="129"/>
        <v>0</v>
      </c>
      <c r="AX131" s="131">
        <f t="shared" si="183"/>
        <v>0</v>
      </c>
      <c r="AY131" s="131">
        <f t="shared" si="130"/>
        <v>0</v>
      </c>
      <c r="AZ131" s="131"/>
      <c r="BA131" s="131">
        <f t="shared" si="184"/>
        <v>0</v>
      </c>
      <c r="BB131" s="131"/>
      <c r="BC131" s="131"/>
      <c r="BD131" s="131">
        <f t="shared" si="131"/>
        <v>0</v>
      </c>
      <c r="BE131" s="131"/>
      <c r="BF131" s="131">
        <f t="shared" si="173"/>
        <v>0</v>
      </c>
      <c r="BG131" s="131">
        <f t="shared" si="174"/>
        <v>0</v>
      </c>
      <c r="BH131" s="131"/>
      <c r="BI131" s="131"/>
      <c r="BJ131" s="131"/>
      <c r="BK131" s="131">
        <f t="shared" si="175"/>
        <v>0</v>
      </c>
      <c r="BL131" s="131"/>
      <c r="BM131" s="131"/>
      <c r="BN131" s="131">
        <f t="shared" si="176"/>
        <v>0</v>
      </c>
      <c r="BO131" s="131"/>
      <c r="BP131" s="131">
        <f t="shared" si="177"/>
        <v>0</v>
      </c>
      <c r="BQ131" s="131"/>
      <c r="BR131" s="131"/>
      <c r="BS131" s="131"/>
      <c r="BT131" s="131"/>
      <c r="BU131" s="131"/>
      <c r="BV131" s="131">
        <f t="shared" si="178"/>
        <v>0</v>
      </c>
      <c r="BW131" s="131"/>
      <c r="BX131" s="131"/>
      <c r="BY131" s="131"/>
      <c r="BZ131" s="131">
        <f t="shared" si="179"/>
        <v>0</v>
      </c>
      <c r="CA131" s="131"/>
      <c r="CB131" s="136">
        <f t="shared" si="132"/>
        <v>160.55836672570746</v>
      </c>
      <c r="CC131" s="131">
        <f t="shared" si="133"/>
        <v>0</v>
      </c>
      <c r="CD131" s="136">
        <f t="shared" si="134"/>
        <v>0</v>
      </c>
      <c r="CE131" s="131">
        <f t="shared" si="182"/>
        <v>0</v>
      </c>
      <c r="CF131" s="136">
        <f t="shared" si="135"/>
        <v>0</v>
      </c>
      <c r="CG131" s="136"/>
      <c r="CH131" s="136">
        <f t="shared" si="181"/>
        <v>0</v>
      </c>
      <c r="CI131" s="131">
        <f t="shared" si="136"/>
        <v>0</v>
      </c>
      <c r="CJ131" s="131"/>
      <c r="CK131" s="136">
        <f t="shared" si="137"/>
        <v>0</v>
      </c>
      <c r="CL131" s="136">
        <f t="shared" si="138"/>
        <v>804.25411383551102</v>
      </c>
      <c r="CM131" s="131">
        <f t="shared" si="139"/>
        <v>0</v>
      </c>
      <c r="CN131" s="136">
        <f t="shared" si="140"/>
        <v>0</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f t="shared" si="146"/>
        <v>0</v>
      </c>
      <c r="DC131" s="131">
        <f t="shared" si="105"/>
        <v>0</v>
      </c>
      <c r="DD131" s="131">
        <f t="shared" si="147"/>
        <v>0</v>
      </c>
      <c r="DE131" s="131">
        <f t="shared" si="148"/>
        <v>0</v>
      </c>
      <c r="DF131" s="131">
        <f t="shared" si="149"/>
        <v>0</v>
      </c>
      <c r="DG131" s="131">
        <f t="shared" si="150"/>
        <v>0</v>
      </c>
      <c r="DH131" s="131"/>
      <c r="DI131" s="131"/>
      <c r="DJ131" s="131"/>
      <c r="DK131" s="137">
        <f t="shared" si="180"/>
        <v>4620.5129979953599</v>
      </c>
      <c r="DL131" s="227" t="e">
        <f t="shared" si="151"/>
        <v>#REF!</v>
      </c>
      <c r="DM131" s="227" t="e">
        <f t="shared" si="152"/>
        <v>#REF!</v>
      </c>
      <c r="DN131" s="228" t="e">
        <f t="shared" si="106"/>
        <v>#REF!</v>
      </c>
      <c r="DO131" s="228">
        <f t="shared" si="153"/>
        <v>194.35242757490622</v>
      </c>
      <c r="DP131" s="228" t="e">
        <f t="shared" si="154"/>
        <v>#REF!</v>
      </c>
      <c r="DQ131" s="228" t="e">
        <f t="shared" si="155"/>
        <v>#REF!</v>
      </c>
    </row>
    <row r="132" spans="1:121">
      <c r="A132" s="132">
        <f t="shared" si="107"/>
        <v>122</v>
      </c>
      <c r="B132" s="18">
        <f t="shared" si="156"/>
        <v>122</v>
      </c>
      <c r="C132" s="18">
        <f>IF(A132=0," ",VLOOKUP(B132,'tosafot '!$A$7:$B$234,2,0))</f>
        <v>2.2018</v>
      </c>
      <c r="D132" s="220">
        <f t="shared" si="157"/>
        <v>228</v>
      </c>
      <c r="E132" s="130">
        <f t="shared" si="158"/>
        <v>12.2026</v>
      </c>
      <c r="F132" s="126">
        <f t="shared" si="159"/>
        <v>22</v>
      </c>
      <c r="G132" s="18" t="str">
        <f t="shared" si="160"/>
        <v>התחבורה</v>
      </c>
      <c r="H132" s="189">
        <f t="shared" si="161"/>
        <v>122</v>
      </c>
      <c r="I132" s="18">
        <f t="shared" si="162"/>
        <v>1</v>
      </c>
      <c r="J132" s="18" t="str">
        <f t="shared" si="163"/>
        <v>מינהלי - עובדי מדינה</v>
      </c>
      <c r="K132" s="189">
        <f t="shared" si="164"/>
        <v>1</v>
      </c>
      <c r="L132" s="18">
        <f t="shared" si="165"/>
        <v>12</v>
      </c>
      <c r="M132" s="129" t="str">
        <f t="shared" si="166"/>
        <v>17+</v>
      </c>
      <c r="N132" s="189"/>
      <c r="O132" s="132">
        <f t="shared" si="167"/>
        <v>1012</v>
      </c>
      <c r="P132" s="127">
        <f t="shared" si="168"/>
        <v>37</v>
      </c>
      <c r="Q132" s="127">
        <f t="shared" si="169"/>
        <v>36.75</v>
      </c>
      <c r="R132" s="128">
        <f t="shared" si="170"/>
        <v>148</v>
      </c>
      <c r="S132" s="130">
        <f t="shared" si="171"/>
        <v>1.4414995494685181</v>
      </c>
      <c r="T132" s="135">
        <f t="shared" si="108"/>
        <v>0</v>
      </c>
      <c r="U132" s="127">
        <f t="shared" si="109"/>
        <v>0</v>
      </c>
      <c r="V132" s="217">
        <v>0</v>
      </c>
      <c r="W132" s="191">
        <v>0</v>
      </c>
      <c r="X132" s="133">
        <v>0</v>
      </c>
      <c r="Y132" s="131">
        <f t="shared" si="110"/>
        <v>2438.5</v>
      </c>
      <c r="Z132" s="131">
        <f t="shared" si="111"/>
        <v>1076.5966513789815</v>
      </c>
      <c r="AA132" s="242">
        <f t="shared" si="112"/>
        <v>3515.0966513789817</v>
      </c>
      <c r="AB132" s="131">
        <f t="shared" si="113"/>
        <v>0</v>
      </c>
      <c r="AC132" s="131">
        <f t="shared" si="114"/>
        <v>140.60386605515927</v>
      </c>
      <c r="AD132" s="131">
        <f t="shared" si="115"/>
        <v>0</v>
      </c>
      <c r="AE132" s="131">
        <f t="shared" si="116"/>
        <v>0</v>
      </c>
      <c r="AF132" s="131">
        <f t="shared" si="117"/>
        <v>0</v>
      </c>
      <c r="AG132" s="131">
        <f t="shared" si="118"/>
        <v>0</v>
      </c>
      <c r="AH132" s="131">
        <f t="shared" si="119"/>
        <v>0</v>
      </c>
      <c r="AI132" s="131">
        <f t="shared" si="120"/>
        <v>0</v>
      </c>
      <c r="AJ132" s="131">
        <f t="shared" si="121"/>
        <v>0</v>
      </c>
      <c r="AK132" s="131"/>
      <c r="AL132" s="131">
        <f t="shared" si="122"/>
        <v>0</v>
      </c>
      <c r="AM132" s="131"/>
      <c r="AN132" s="243">
        <f t="shared" si="123"/>
        <v>0</v>
      </c>
      <c r="AO132" s="131">
        <f t="shared" si="124"/>
        <v>0</v>
      </c>
      <c r="AP132" s="131">
        <f t="shared" si="125"/>
        <v>0</v>
      </c>
      <c r="AQ132" s="131"/>
      <c r="AR132" s="131">
        <f t="shared" si="126"/>
        <v>0</v>
      </c>
      <c r="AS132" s="131">
        <f t="shared" si="172"/>
        <v>0</v>
      </c>
      <c r="AT132" s="131">
        <f t="shared" si="127"/>
        <v>0</v>
      </c>
      <c r="AU132" s="131">
        <f t="shared" si="128"/>
        <v>0</v>
      </c>
      <c r="AV132" s="131"/>
      <c r="AW132" s="131">
        <f t="shared" si="129"/>
        <v>0</v>
      </c>
      <c r="AX132" s="131">
        <f t="shared" si="183"/>
        <v>0</v>
      </c>
      <c r="AY132" s="131">
        <f t="shared" si="130"/>
        <v>0</v>
      </c>
      <c r="AZ132" s="131"/>
      <c r="BA132" s="131">
        <f t="shared" si="184"/>
        <v>0</v>
      </c>
      <c r="BB132" s="131"/>
      <c r="BC132" s="131"/>
      <c r="BD132" s="131">
        <f t="shared" si="131"/>
        <v>0</v>
      </c>
      <c r="BE132" s="131"/>
      <c r="BF132" s="131">
        <f t="shared" si="173"/>
        <v>0</v>
      </c>
      <c r="BG132" s="131">
        <f t="shared" si="174"/>
        <v>0</v>
      </c>
      <c r="BH132" s="131"/>
      <c r="BI132" s="131"/>
      <c r="BJ132" s="131"/>
      <c r="BK132" s="131">
        <f t="shared" si="175"/>
        <v>0</v>
      </c>
      <c r="BL132" s="131"/>
      <c r="BM132" s="131"/>
      <c r="BN132" s="131">
        <f t="shared" si="176"/>
        <v>0</v>
      </c>
      <c r="BO132" s="131"/>
      <c r="BP132" s="131">
        <f t="shared" si="177"/>
        <v>0</v>
      </c>
      <c r="BQ132" s="131"/>
      <c r="BR132" s="131"/>
      <c r="BS132" s="131"/>
      <c r="BT132" s="131"/>
      <c r="BU132" s="131"/>
      <c r="BV132" s="131">
        <f t="shared" si="178"/>
        <v>0</v>
      </c>
      <c r="BW132" s="131"/>
      <c r="BX132" s="131"/>
      <c r="BY132" s="131"/>
      <c r="BZ132" s="131">
        <f t="shared" si="179"/>
        <v>0</v>
      </c>
      <c r="CA132" s="131"/>
      <c r="CB132" s="136">
        <f t="shared" si="132"/>
        <v>160.55836672570746</v>
      </c>
      <c r="CC132" s="131">
        <f t="shared" si="133"/>
        <v>0</v>
      </c>
      <c r="CD132" s="136">
        <f t="shared" si="134"/>
        <v>0</v>
      </c>
      <c r="CE132" s="131">
        <f t="shared" si="182"/>
        <v>0</v>
      </c>
      <c r="CF132" s="136">
        <f t="shared" si="135"/>
        <v>0</v>
      </c>
      <c r="CG132" s="136"/>
      <c r="CH132" s="136">
        <f t="shared" si="181"/>
        <v>0</v>
      </c>
      <c r="CI132" s="131">
        <f t="shared" si="136"/>
        <v>0</v>
      </c>
      <c r="CJ132" s="131"/>
      <c r="CK132" s="136">
        <f t="shared" si="137"/>
        <v>0</v>
      </c>
      <c r="CL132" s="136">
        <f t="shared" si="138"/>
        <v>804.25411383551102</v>
      </c>
      <c r="CM132" s="131">
        <f t="shared" si="139"/>
        <v>0</v>
      </c>
      <c r="CN132" s="136">
        <f t="shared" si="140"/>
        <v>0</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f t="shared" si="146"/>
        <v>0</v>
      </c>
      <c r="DC132" s="131">
        <f t="shared" si="105"/>
        <v>0</v>
      </c>
      <c r="DD132" s="131">
        <f t="shared" si="147"/>
        <v>0</v>
      </c>
      <c r="DE132" s="131">
        <f t="shared" si="148"/>
        <v>0</v>
      </c>
      <c r="DF132" s="131">
        <f t="shared" si="149"/>
        <v>0</v>
      </c>
      <c r="DG132" s="131">
        <f t="shared" si="150"/>
        <v>0</v>
      </c>
      <c r="DH132" s="131"/>
      <c r="DI132" s="131"/>
      <c r="DJ132" s="131"/>
      <c r="DK132" s="137">
        <f t="shared" si="180"/>
        <v>4620.5129979953599</v>
      </c>
      <c r="DL132" s="227" t="e">
        <f t="shared" si="151"/>
        <v>#REF!</v>
      </c>
      <c r="DM132" s="227" t="e">
        <f t="shared" si="152"/>
        <v>#REF!</v>
      </c>
      <c r="DN132" s="228" t="e">
        <f t="shared" si="106"/>
        <v>#REF!</v>
      </c>
      <c r="DO132" s="228">
        <f t="shared" si="153"/>
        <v>194.35242757490622</v>
      </c>
      <c r="DP132" s="228" t="e">
        <f t="shared" si="154"/>
        <v>#REF!</v>
      </c>
      <c r="DQ132" s="228" t="e">
        <f t="shared" si="155"/>
        <v>#REF!</v>
      </c>
    </row>
    <row r="133" spans="1:121">
      <c r="A133" s="132">
        <f t="shared" si="107"/>
        <v>123</v>
      </c>
      <c r="B133" s="18">
        <f t="shared" si="156"/>
        <v>123</v>
      </c>
      <c r="C133" s="18">
        <f>IF(A133=0," ",VLOOKUP(B133,'tosafot '!$A$7:$B$234,2,0))</f>
        <v>3.2018</v>
      </c>
      <c r="D133" s="220">
        <f t="shared" si="157"/>
        <v>228</v>
      </c>
      <c r="E133" s="130">
        <f t="shared" si="158"/>
        <v>12.2026</v>
      </c>
      <c r="F133" s="126">
        <f t="shared" si="159"/>
        <v>22</v>
      </c>
      <c r="G133" s="18" t="str">
        <f t="shared" si="160"/>
        <v>התחבורה</v>
      </c>
      <c r="H133" s="189">
        <f t="shared" si="161"/>
        <v>122</v>
      </c>
      <c r="I133" s="18">
        <f t="shared" si="162"/>
        <v>1</v>
      </c>
      <c r="J133" s="18" t="str">
        <f t="shared" si="163"/>
        <v>מינהלי - עובדי מדינה</v>
      </c>
      <c r="K133" s="189">
        <f t="shared" si="164"/>
        <v>1</v>
      </c>
      <c r="L133" s="18">
        <f t="shared" si="165"/>
        <v>12</v>
      </c>
      <c r="M133" s="129" t="str">
        <f t="shared" si="166"/>
        <v>17+</v>
      </c>
      <c r="N133" s="189"/>
      <c r="O133" s="132">
        <f t="shared" si="167"/>
        <v>1012</v>
      </c>
      <c r="P133" s="127">
        <f t="shared" si="168"/>
        <v>37</v>
      </c>
      <c r="Q133" s="127">
        <f t="shared" si="169"/>
        <v>36.75</v>
      </c>
      <c r="R133" s="128">
        <f t="shared" si="170"/>
        <v>148</v>
      </c>
      <c r="S133" s="130">
        <f t="shared" si="171"/>
        <v>1.4414995494685181</v>
      </c>
      <c r="T133" s="135">
        <f t="shared" si="108"/>
        <v>0</v>
      </c>
      <c r="U133" s="127">
        <f t="shared" si="109"/>
        <v>0</v>
      </c>
      <c r="V133" s="217">
        <v>0</v>
      </c>
      <c r="W133" s="191">
        <v>0</v>
      </c>
      <c r="X133" s="133">
        <v>0</v>
      </c>
      <c r="Y133" s="131">
        <f t="shared" si="110"/>
        <v>2438.5</v>
      </c>
      <c r="Z133" s="131">
        <f t="shared" si="111"/>
        <v>1076.5966513789815</v>
      </c>
      <c r="AA133" s="242">
        <f t="shared" si="112"/>
        <v>3515.0966513789817</v>
      </c>
      <c r="AB133" s="131">
        <f t="shared" si="113"/>
        <v>0</v>
      </c>
      <c r="AC133" s="131">
        <f t="shared" si="114"/>
        <v>140.60386605515927</v>
      </c>
      <c r="AD133" s="131">
        <f t="shared" si="115"/>
        <v>0</v>
      </c>
      <c r="AE133" s="131">
        <f t="shared" si="116"/>
        <v>0</v>
      </c>
      <c r="AF133" s="131">
        <f t="shared" si="117"/>
        <v>0</v>
      </c>
      <c r="AG133" s="131">
        <f t="shared" si="118"/>
        <v>0</v>
      </c>
      <c r="AH133" s="131">
        <f t="shared" si="119"/>
        <v>0</v>
      </c>
      <c r="AI133" s="131">
        <f t="shared" si="120"/>
        <v>0</v>
      </c>
      <c r="AJ133" s="131">
        <f t="shared" si="121"/>
        <v>0</v>
      </c>
      <c r="AK133" s="131"/>
      <c r="AL133" s="131">
        <f t="shared" si="122"/>
        <v>0</v>
      </c>
      <c r="AM133" s="131"/>
      <c r="AN133" s="243">
        <f t="shared" si="123"/>
        <v>0</v>
      </c>
      <c r="AO133" s="131">
        <f t="shared" si="124"/>
        <v>0</v>
      </c>
      <c r="AP133" s="131">
        <f t="shared" si="125"/>
        <v>0</v>
      </c>
      <c r="AQ133" s="131"/>
      <c r="AR133" s="131">
        <f t="shared" si="126"/>
        <v>0</v>
      </c>
      <c r="AS133" s="131">
        <f t="shared" si="172"/>
        <v>0</v>
      </c>
      <c r="AT133" s="131">
        <f t="shared" si="127"/>
        <v>0</v>
      </c>
      <c r="AU133" s="131">
        <f t="shared" si="128"/>
        <v>0</v>
      </c>
      <c r="AV133" s="131"/>
      <c r="AW133" s="131">
        <f t="shared" si="129"/>
        <v>0</v>
      </c>
      <c r="AX133" s="131">
        <f t="shared" si="183"/>
        <v>0</v>
      </c>
      <c r="AY133" s="131">
        <f t="shared" si="130"/>
        <v>0</v>
      </c>
      <c r="AZ133" s="131"/>
      <c r="BA133" s="131">
        <f t="shared" si="184"/>
        <v>0</v>
      </c>
      <c r="BB133" s="131"/>
      <c r="BC133" s="131"/>
      <c r="BD133" s="131">
        <f t="shared" si="131"/>
        <v>0</v>
      </c>
      <c r="BE133" s="131"/>
      <c r="BF133" s="131">
        <f t="shared" si="173"/>
        <v>0</v>
      </c>
      <c r="BG133" s="131">
        <f t="shared" si="174"/>
        <v>0</v>
      </c>
      <c r="BH133" s="131"/>
      <c r="BI133" s="131"/>
      <c r="BJ133" s="131"/>
      <c r="BK133" s="131">
        <f t="shared" si="175"/>
        <v>0</v>
      </c>
      <c r="BL133" s="131"/>
      <c r="BM133" s="131"/>
      <c r="BN133" s="131">
        <f t="shared" si="176"/>
        <v>0</v>
      </c>
      <c r="BO133" s="131"/>
      <c r="BP133" s="131">
        <f t="shared" si="177"/>
        <v>0</v>
      </c>
      <c r="BQ133" s="131"/>
      <c r="BR133" s="131"/>
      <c r="BS133" s="131"/>
      <c r="BT133" s="131"/>
      <c r="BU133" s="131"/>
      <c r="BV133" s="131">
        <f t="shared" si="178"/>
        <v>0</v>
      </c>
      <c r="BW133" s="131"/>
      <c r="BX133" s="131"/>
      <c r="BY133" s="131"/>
      <c r="BZ133" s="131">
        <f t="shared" si="179"/>
        <v>0</v>
      </c>
      <c r="CA133" s="131"/>
      <c r="CB133" s="136">
        <f t="shared" si="132"/>
        <v>160.55836672570746</v>
      </c>
      <c r="CC133" s="131">
        <f t="shared" si="133"/>
        <v>0</v>
      </c>
      <c r="CD133" s="136">
        <f t="shared" si="134"/>
        <v>0</v>
      </c>
      <c r="CE133" s="131">
        <f t="shared" si="182"/>
        <v>0</v>
      </c>
      <c r="CF133" s="136">
        <f t="shared" si="135"/>
        <v>0</v>
      </c>
      <c r="CG133" s="136"/>
      <c r="CH133" s="136">
        <f t="shared" si="181"/>
        <v>0</v>
      </c>
      <c r="CI133" s="131">
        <f t="shared" si="136"/>
        <v>0</v>
      </c>
      <c r="CJ133" s="131"/>
      <c r="CK133" s="136">
        <f t="shared" si="137"/>
        <v>0</v>
      </c>
      <c r="CL133" s="136">
        <f t="shared" si="138"/>
        <v>804.25411383551102</v>
      </c>
      <c r="CM133" s="131">
        <f t="shared" si="139"/>
        <v>0</v>
      </c>
      <c r="CN133" s="136">
        <f t="shared" si="140"/>
        <v>0</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f t="shared" si="146"/>
        <v>0</v>
      </c>
      <c r="DC133" s="131">
        <f t="shared" si="105"/>
        <v>0</v>
      </c>
      <c r="DD133" s="131">
        <f t="shared" si="147"/>
        <v>0</v>
      </c>
      <c r="DE133" s="131">
        <f t="shared" si="148"/>
        <v>0</v>
      </c>
      <c r="DF133" s="131">
        <f t="shared" si="149"/>
        <v>0</v>
      </c>
      <c r="DG133" s="131">
        <f t="shared" si="150"/>
        <v>0</v>
      </c>
      <c r="DH133" s="131"/>
      <c r="DI133" s="131"/>
      <c r="DJ133" s="131"/>
      <c r="DK133" s="137">
        <f t="shared" si="180"/>
        <v>4620.5129979953599</v>
      </c>
      <c r="DL133" s="227" t="e">
        <f t="shared" si="151"/>
        <v>#REF!</v>
      </c>
      <c r="DM133" s="227" t="e">
        <f t="shared" si="152"/>
        <v>#REF!</v>
      </c>
      <c r="DN133" s="228" t="e">
        <f t="shared" si="106"/>
        <v>#REF!</v>
      </c>
      <c r="DO133" s="228">
        <f t="shared" si="153"/>
        <v>194.35242757490622</v>
      </c>
      <c r="DP133" s="228" t="e">
        <f t="shared" si="154"/>
        <v>#REF!</v>
      </c>
      <c r="DQ133" s="228" t="e">
        <f t="shared" si="155"/>
        <v>#REF!</v>
      </c>
    </row>
    <row r="134" spans="1:121">
      <c r="A134" s="132">
        <f t="shared" si="107"/>
        <v>124</v>
      </c>
      <c r="B134" s="18">
        <f t="shared" si="156"/>
        <v>124</v>
      </c>
      <c r="C134" s="18">
        <f>IF(A134=0," ",VLOOKUP(B134,'tosafot '!$A$7:$B$234,2,0))</f>
        <v>4.2018000000000004</v>
      </c>
      <c r="D134" s="220">
        <f t="shared" si="157"/>
        <v>228</v>
      </c>
      <c r="E134" s="130">
        <f t="shared" si="158"/>
        <v>12.2026</v>
      </c>
      <c r="F134" s="126">
        <f t="shared" si="159"/>
        <v>22</v>
      </c>
      <c r="G134" s="18" t="str">
        <f t="shared" si="160"/>
        <v>התחבורה</v>
      </c>
      <c r="H134" s="189">
        <f t="shared" si="161"/>
        <v>122</v>
      </c>
      <c r="I134" s="18">
        <f t="shared" si="162"/>
        <v>1</v>
      </c>
      <c r="J134" s="18" t="str">
        <f t="shared" si="163"/>
        <v>מינהלי - עובדי מדינה</v>
      </c>
      <c r="K134" s="189">
        <f t="shared" si="164"/>
        <v>1</v>
      </c>
      <c r="L134" s="18">
        <f t="shared" si="165"/>
        <v>12</v>
      </c>
      <c r="M134" s="129" t="str">
        <f t="shared" si="166"/>
        <v>17+</v>
      </c>
      <c r="N134" s="189"/>
      <c r="O134" s="132">
        <f t="shared" si="167"/>
        <v>1012</v>
      </c>
      <c r="P134" s="127">
        <f t="shared" si="168"/>
        <v>37</v>
      </c>
      <c r="Q134" s="127">
        <f t="shared" si="169"/>
        <v>36.75</v>
      </c>
      <c r="R134" s="128">
        <f t="shared" si="170"/>
        <v>148</v>
      </c>
      <c r="S134" s="130">
        <f t="shared" si="171"/>
        <v>1.4414995494685181</v>
      </c>
      <c r="T134" s="135">
        <f t="shared" si="108"/>
        <v>0</v>
      </c>
      <c r="U134" s="127">
        <f t="shared" si="109"/>
        <v>0</v>
      </c>
      <c r="V134" s="217">
        <v>0</v>
      </c>
      <c r="W134" s="191">
        <v>0</v>
      </c>
      <c r="X134" s="133">
        <v>0</v>
      </c>
      <c r="Y134" s="131">
        <f t="shared" si="110"/>
        <v>2438.5</v>
      </c>
      <c r="Z134" s="131">
        <f t="shared" si="111"/>
        <v>1076.5966513789815</v>
      </c>
      <c r="AA134" s="242">
        <f t="shared" si="112"/>
        <v>3515.0966513789817</v>
      </c>
      <c r="AB134" s="131">
        <f t="shared" si="113"/>
        <v>0</v>
      </c>
      <c r="AC134" s="131">
        <f t="shared" si="114"/>
        <v>140.60386605515927</v>
      </c>
      <c r="AD134" s="131">
        <f t="shared" si="115"/>
        <v>0</v>
      </c>
      <c r="AE134" s="131">
        <f t="shared" si="116"/>
        <v>0</v>
      </c>
      <c r="AF134" s="131">
        <f t="shared" si="117"/>
        <v>0</v>
      </c>
      <c r="AG134" s="131">
        <f t="shared" si="118"/>
        <v>0</v>
      </c>
      <c r="AH134" s="131">
        <f t="shared" si="119"/>
        <v>0</v>
      </c>
      <c r="AI134" s="131">
        <f t="shared" si="120"/>
        <v>0</v>
      </c>
      <c r="AJ134" s="131">
        <f t="shared" si="121"/>
        <v>0</v>
      </c>
      <c r="AK134" s="131"/>
      <c r="AL134" s="131">
        <f t="shared" si="122"/>
        <v>0</v>
      </c>
      <c r="AM134" s="131"/>
      <c r="AN134" s="243">
        <f t="shared" si="123"/>
        <v>0</v>
      </c>
      <c r="AO134" s="131">
        <f t="shared" si="124"/>
        <v>0</v>
      </c>
      <c r="AP134" s="131">
        <f t="shared" si="125"/>
        <v>0</v>
      </c>
      <c r="AQ134" s="131"/>
      <c r="AR134" s="131">
        <f t="shared" si="126"/>
        <v>0</v>
      </c>
      <c r="AS134" s="131">
        <f t="shared" si="172"/>
        <v>0</v>
      </c>
      <c r="AT134" s="131">
        <f t="shared" si="127"/>
        <v>0</v>
      </c>
      <c r="AU134" s="131">
        <f t="shared" si="128"/>
        <v>0</v>
      </c>
      <c r="AV134" s="131"/>
      <c r="AW134" s="131">
        <f t="shared" si="129"/>
        <v>0</v>
      </c>
      <c r="AX134" s="131">
        <f t="shared" si="183"/>
        <v>0</v>
      </c>
      <c r="AY134" s="131">
        <f t="shared" si="130"/>
        <v>0</v>
      </c>
      <c r="AZ134" s="131"/>
      <c r="BA134" s="131">
        <f t="shared" si="184"/>
        <v>0</v>
      </c>
      <c r="BB134" s="131"/>
      <c r="BC134" s="131"/>
      <c r="BD134" s="131">
        <f t="shared" si="131"/>
        <v>0</v>
      </c>
      <c r="BE134" s="131"/>
      <c r="BF134" s="131">
        <f t="shared" si="173"/>
        <v>0</v>
      </c>
      <c r="BG134" s="131">
        <f t="shared" si="174"/>
        <v>0</v>
      </c>
      <c r="BH134" s="131"/>
      <c r="BI134" s="131"/>
      <c r="BJ134" s="131"/>
      <c r="BK134" s="131">
        <f t="shared" si="175"/>
        <v>0</v>
      </c>
      <c r="BL134" s="131"/>
      <c r="BM134" s="131"/>
      <c r="BN134" s="131">
        <f t="shared" si="176"/>
        <v>0</v>
      </c>
      <c r="BO134" s="131"/>
      <c r="BP134" s="131">
        <f t="shared" si="177"/>
        <v>0</v>
      </c>
      <c r="BQ134" s="131"/>
      <c r="BR134" s="131"/>
      <c r="BS134" s="131"/>
      <c r="BT134" s="131"/>
      <c r="BU134" s="131"/>
      <c r="BV134" s="131">
        <f t="shared" si="178"/>
        <v>0</v>
      </c>
      <c r="BW134" s="131"/>
      <c r="BX134" s="131"/>
      <c r="BY134" s="131"/>
      <c r="BZ134" s="131">
        <f t="shared" si="179"/>
        <v>0</v>
      </c>
      <c r="CA134" s="131"/>
      <c r="CB134" s="136">
        <f t="shared" si="132"/>
        <v>160.55836672570746</v>
      </c>
      <c r="CC134" s="131">
        <f t="shared" si="133"/>
        <v>0</v>
      </c>
      <c r="CD134" s="136">
        <f t="shared" si="134"/>
        <v>0</v>
      </c>
      <c r="CE134" s="131">
        <f t="shared" si="182"/>
        <v>0</v>
      </c>
      <c r="CF134" s="136">
        <f t="shared" si="135"/>
        <v>0</v>
      </c>
      <c r="CG134" s="136"/>
      <c r="CH134" s="136">
        <f t="shared" si="181"/>
        <v>0</v>
      </c>
      <c r="CI134" s="131">
        <f t="shared" si="136"/>
        <v>0</v>
      </c>
      <c r="CJ134" s="131"/>
      <c r="CK134" s="136">
        <f t="shared" si="137"/>
        <v>0</v>
      </c>
      <c r="CL134" s="136">
        <f t="shared" si="138"/>
        <v>804.25411383551102</v>
      </c>
      <c r="CM134" s="131">
        <f t="shared" si="139"/>
        <v>0</v>
      </c>
      <c r="CN134" s="136">
        <f t="shared" si="140"/>
        <v>0</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f t="shared" si="146"/>
        <v>0</v>
      </c>
      <c r="DC134" s="131">
        <f t="shared" si="105"/>
        <v>0</v>
      </c>
      <c r="DD134" s="131">
        <f t="shared" si="147"/>
        <v>0</v>
      </c>
      <c r="DE134" s="131">
        <f t="shared" si="148"/>
        <v>0</v>
      </c>
      <c r="DF134" s="131">
        <f t="shared" si="149"/>
        <v>0</v>
      </c>
      <c r="DG134" s="131">
        <f t="shared" si="150"/>
        <v>0</v>
      </c>
      <c r="DH134" s="131"/>
      <c r="DI134" s="131"/>
      <c r="DJ134" s="131"/>
      <c r="DK134" s="137">
        <f t="shared" si="180"/>
        <v>4620.5129979953599</v>
      </c>
      <c r="DL134" s="227" t="e">
        <f t="shared" si="151"/>
        <v>#REF!</v>
      </c>
      <c r="DM134" s="227" t="e">
        <f t="shared" si="152"/>
        <v>#REF!</v>
      </c>
      <c r="DN134" s="228" t="e">
        <f t="shared" si="106"/>
        <v>#REF!</v>
      </c>
      <c r="DO134" s="228">
        <f t="shared" si="153"/>
        <v>194.35242757490622</v>
      </c>
      <c r="DP134" s="228" t="e">
        <f t="shared" si="154"/>
        <v>#REF!</v>
      </c>
      <c r="DQ134" s="228" t="e">
        <f t="shared" si="155"/>
        <v>#REF!</v>
      </c>
    </row>
    <row r="135" spans="1:121">
      <c r="A135" s="132">
        <f t="shared" si="107"/>
        <v>125</v>
      </c>
      <c r="B135" s="18">
        <f t="shared" si="156"/>
        <v>125</v>
      </c>
      <c r="C135" s="18">
        <f>IF(A135=0," ",VLOOKUP(B135,'tosafot '!$A$7:$B$234,2,0))</f>
        <v>5.2018000000000004</v>
      </c>
      <c r="D135" s="220">
        <f t="shared" si="157"/>
        <v>228</v>
      </c>
      <c r="E135" s="130">
        <f t="shared" si="158"/>
        <v>12.2026</v>
      </c>
      <c r="F135" s="126">
        <f t="shared" si="159"/>
        <v>22</v>
      </c>
      <c r="G135" s="18" t="str">
        <f t="shared" si="160"/>
        <v>התחבורה</v>
      </c>
      <c r="H135" s="189">
        <f t="shared" si="161"/>
        <v>122</v>
      </c>
      <c r="I135" s="18">
        <f t="shared" si="162"/>
        <v>1</v>
      </c>
      <c r="J135" s="18" t="str">
        <f t="shared" si="163"/>
        <v>מינהלי - עובדי מדינה</v>
      </c>
      <c r="K135" s="189">
        <f t="shared" si="164"/>
        <v>1</v>
      </c>
      <c r="L135" s="18">
        <f t="shared" si="165"/>
        <v>12</v>
      </c>
      <c r="M135" s="129" t="str">
        <f t="shared" si="166"/>
        <v>17+</v>
      </c>
      <c r="N135" s="189"/>
      <c r="O135" s="132">
        <f t="shared" si="167"/>
        <v>1012</v>
      </c>
      <c r="P135" s="127">
        <f t="shared" si="168"/>
        <v>37</v>
      </c>
      <c r="Q135" s="127">
        <f t="shared" si="169"/>
        <v>36.75</v>
      </c>
      <c r="R135" s="128">
        <f t="shared" si="170"/>
        <v>148</v>
      </c>
      <c r="S135" s="130">
        <f t="shared" si="171"/>
        <v>1.4414995494685181</v>
      </c>
      <c r="T135" s="135">
        <f t="shared" si="108"/>
        <v>0</v>
      </c>
      <c r="U135" s="127">
        <f t="shared" si="109"/>
        <v>0</v>
      </c>
      <c r="V135" s="217">
        <v>0</v>
      </c>
      <c r="W135" s="191">
        <v>0</v>
      </c>
      <c r="X135" s="133">
        <v>0</v>
      </c>
      <c r="Y135" s="131">
        <f t="shared" si="110"/>
        <v>2438.5</v>
      </c>
      <c r="Z135" s="131">
        <f t="shared" si="111"/>
        <v>1076.5966513789815</v>
      </c>
      <c r="AA135" s="242">
        <f t="shared" si="112"/>
        <v>3515.0966513789817</v>
      </c>
      <c r="AB135" s="131">
        <f t="shared" si="113"/>
        <v>0</v>
      </c>
      <c r="AC135" s="131">
        <f t="shared" si="114"/>
        <v>140.60386605515927</v>
      </c>
      <c r="AD135" s="131">
        <f t="shared" si="115"/>
        <v>0</v>
      </c>
      <c r="AE135" s="131">
        <f t="shared" si="116"/>
        <v>0</v>
      </c>
      <c r="AF135" s="131">
        <f t="shared" si="117"/>
        <v>0</v>
      </c>
      <c r="AG135" s="131">
        <f t="shared" si="118"/>
        <v>0</v>
      </c>
      <c r="AH135" s="131">
        <f t="shared" si="119"/>
        <v>0</v>
      </c>
      <c r="AI135" s="131">
        <f t="shared" si="120"/>
        <v>0</v>
      </c>
      <c r="AJ135" s="131">
        <f t="shared" si="121"/>
        <v>0</v>
      </c>
      <c r="AK135" s="131"/>
      <c r="AL135" s="131">
        <f t="shared" si="122"/>
        <v>0</v>
      </c>
      <c r="AM135" s="131"/>
      <c r="AN135" s="243">
        <f t="shared" si="123"/>
        <v>0</v>
      </c>
      <c r="AO135" s="131">
        <f t="shared" si="124"/>
        <v>0</v>
      </c>
      <c r="AP135" s="131">
        <f t="shared" si="125"/>
        <v>0</v>
      </c>
      <c r="AQ135" s="131"/>
      <c r="AR135" s="131">
        <f t="shared" si="126"/>
        <v>0</v>
      </c>
      <c r="AS135" s="131">
        <f t="shared" si="172"/>
        <v>0</v>
      </c>
      <c r="AT135" s="131">
        <f t="shared" si="127"/>
        <v>0</v>
      </c>
      <c r="AU135" s="131">
        <f t="shared" si="128"/>
        <v>0</v>
      </c>
      <c r="AV135" s="131"/>
      <c r="AW135" s="131">
        <f t="shared" si="129"/>
        <v>0</v>
      </c>
      <c r="AX135" s="131">
        <f t="shared" si="183"/>
        <v>0</v>
      </c>
      <c r="AY135" s="131">
        <f t="shared" si="130"/>
        <v>0</v>
      </c>
      <c r="AZ135" s="131"/>
      <c r="BA135" s="131">
        <f t="shared" si="184"/>
        <v>0</v>
      </c>
      <c r="BB135" s="131"/>
      <c r="BC135" s="131"/>
      <c r="BD135" s="131">
        <f t="shared" si="131"/>
        <v>0</v>
      </c>
      <c r="BE135" s="131"/>
      <c r="BF135" s="131">
        <f t="shared" si="173"/>
        <v>0</v>
      </c>
      <c r="BG135" s="131">
        <f t="shared" si="174"/>
        <v>0</v>
      </c>
      <c r="BH135" s="131"/>
      <c r="BI135" s="131"/>
      <c r="BJ135" s="131"/>
      <c r="BK135" s="131">
        <f t="shared" si="175"/>
        <v>0</v>
      </c>
      <c r="BL135" s="131"/>
      <c r="BM135" s="131"/>
      <c r="BN135" s="131">
        <f t="shared" si="176"/>
        <v>0</v>
      </c>
      <c r="BO135" s="131"/>
      <c r="BP135" s="131">
        <f t="shared" si="177"/>
        <v>0</v>
      </c>
      <c r="BQ135" s="131"/>
      <c r="BR135" s="131"/>
      <c r="BS135" s="131"/>
      <c r="BT135" s="131"/>
      <c r="BU135" s="131"/>
      <c r="BV135" s="131">
        <f t="shared" si="178"/>
        <v>0</v>
      </c>
      <c r="BW135" s="131"/>
      <c r="BX135" s="131"/>
      <c r="BY135" s="131"/>
      <c r="BZ135" s="131">
        <f t="shared" si="179"/>
        <v>0</v>
      </c>
      <c r="CA135" s="131"/>
      <c r="CB135" s="136">
        <f t="shared" si="132"/>
        <v>160.55836672570746</v>
      </c>
      <c r="CC135" s="131">
        <f t="shared" si="133"/>
        <v>0</v>
      </c>
      <c r="CD135" s="136">
        <f t="shared" si="134"/>
        <v>0</v>
      </c>
      <c r="CE135" s="131">
        <f t="shared" si="182"/>
        <v>0</v>
      </c>
      <c r="CF135" s="136">
        <f t="shared" si="135"/>
        <v>0</v>
      </c>
      <c r="CG135" s="136"/>
      <c r="CH135" s="136">
        <f t="shared" si="181"/>
        <v>0</v>
      </c>
      <c r="CI135" s="131">
        <f t="shared" si="136"/>
        <v>0</v>
      </c>
      <c r="CJ135" s="131"/>
      <c r="CK135" s="136">
        <f t="shared" si="137"/>
        <v>0</v>
      </c>
      <c r="CL135" s="136">
        <f t="shared" si="138"/>
        <v>804.25411383551102</v>
      </c>
      <c r="CM135" s="131">
        <f t="shared" si="139"/>
        <v>0</v>
      </c>
      <c r="CN135" s="136">
        <f t="shared" si="140"/>
        <v>0</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f t="shared" si="146"/>
        <v>0</v>
      </c>
      <c r="DC135" s="131">
        <f t="shared" si="105"/>
        <v>0</v>
      </c>
      <c r="DD135" s="131">
        <f t="shared" si="147"/>
        <v>0</v>
      </c>
      <c r="DE135" s="131">
        <f t="shared" si="148"/>
        <v>0</v>
      </c>
      <c r="DF135" s="131">
        <f t="shared" si="149"/>
        <v>0</v>
      </c>
      <c r="DG135" s="131">
        <f t="shared" si="150"/>
        <v>0</v>
      </c>
      <c r="DH135" s="131"/>
      <c r="DI135" s="131"/>
      <c r="DJ135" s="131"/>
      <c r="DK135" s="137">
        <f t="shared" si="180"/>
        <v>4620.5129979953599</v>
      </c>
      <c r="DL135" s="227" t="e">
        <f t="shared" si="151"/>
        <v>#REF!</v>
      </c>
      <c r="DM135" s="227" t="e">
        <f t="shared" si="152"/>
        <v>#REF!</v>
      </c>
      <c r="DN135" s="228" t="e">
        <f t="shared" si="106"/>
        <v>#REF!</v>
      </c>
      <c r="DO135" s="228">
        <f t="shared" si="153"/>
        <v>194.35242757490622</v>
      </c>
      <c r="DP135" s="228" t="e">
        <f t="shared" si="154"/>
        <v>#REF!</v>
      </c>
      <c r="DQ135" s="228" t="e">
        <f t="shared" si="155"/>
        <v>#REF!</v>
      </c>
    </row>
    <row r="136" spans="1:121">
      <c r="A136" s="132">
        <f t="shared" si="107"/>
        <v>126</v>
      </c>
      <c r="B136" s="18">
        <f t="shared" si="156"/>
        <v>126</v>
      </c>
      <c r="C136" s="18">
        <f>IF(A136=0," ",VLOOKUP(B136,'tosafot '!$A$7:$B$234,2,0))</f>
        <v>6.2018000000000004</v>
      </c>
      <c r="D136" s="220">
        <f t="shared" si="157"/>
        <v>228</v>
      </c>
      <c r="E136" s="130">
        <f t="shared" si="158"/>
        <v>12.2026</v>
      </c>
      <c r="F136" s="126">
        <f t="shared" si="159"/>
        <v>22</v>
      </c>
      <c r="G136" s="18" t="str">
        <f t="shared" si="160"/>
        <v>התחבורה</v>
      </c>
      <c r="H136" s="189">
        <f t="shared" si="161"/>
        <v>122</v>
      </c>
      <c r="I136" s="18">
        <f t="shared" si="162"/>
        <v>1</v>
      </c>
      <c r="J136" s="18" t="str">
        <f t="shared" si="163"/>
        <v>מינהלי - עובדי מדינה</v>
      </c>
      <c r="K136" s="189">
        <f t="shared" si="164"/>
        <v>1</v>
      </c>
      <c r="L136" s="18">
        <f t="shared" si="165"/>
        <v>12</v>
      </c>
      <c r="M136" s="129" t="str">
        <f t="shared" si="166"/>
        <v>17+</v>
      </c>
      <c r="N136" s="189"/>
      <c r="O136" s="132">
        <f t="shared" si="167"/>
        <v>1012</v>
      </c>
      <c r="P136" s="127">
        <f t="shared" si="168"/>
        <v>37</v>
      </c>
      <c r="Q136" s="127">
        <f t="shared" si="169"/>
        <v>36.75</v>
      </c>
      <c r="R136" s="128">
        <f t="shared" si="170"/>
        <v>148</v>
      </c>
      <c r="S136" s="130">
        <f t="shared" si="171"/>
        <v>1.4414995494685181</v>
      </c>
      <c r="T136" s="135">
        <f t="shared" si="108"/>
        <v>0</v>
      </c>
      <c r="U136" s="127">
        <f t="shared" si="109"/>
        <v>0</v>
      </c>
      <c r="V136" s="217">
        <v>0</v>
      </c>
      <c r="W136" s="191">
        <v>0</v>
      </c>
      <c r="X136" s="133">
        <v>0</v>
      </c>
      <c r="Y136" s="131">
        <f t="shared" si="110"/>
        <v>2438.5</v>
      </c>
      <c r="Z136" s="131">
        <f t="shared" si="111"/>
        <v>1076.5966513789815</v>
      </c>
      <c r="AA136" s="242">
        <f t="shared" si="112"/>
        <v>3515.0966513789817</v>
      </c>
      <c r="AB136" s="131">
        <f t="shared" si="113"/>
        <v>0</v>
      </c>
      <c r="AC136" s="131">
        <f t="shared" si="114"/>
        <v>140.60386605515927</v>
      </c>
      <c r="AD136" s="131">
        <f t="shared" si="115"/>
        <v>0</v>
      </c>
      <c r="AE136" s="131">
        <f t="shared" si="116"/>
        <v>0</v>
      </c>
      <c r="AF136" s="131">
        <f t="shared" si="117"/>
        <v>0</v>
      </c>
      <c r="AG136" s="131">
        <f t="shared" si="118"/>
        <v>0</v>
      </c>
      <c r="AH136" s="131">
        <f t="shared" si="119"/>
        <v>0</v>
      </c>
      <c r="AI136" s="131">
        <f t="shared" si="120"/>
        <v>0</v>
      </c>
      <c r="AJ136" s="131">
        <f t="shared" si="121"/>
        <v>0</v>
      </c>
      <c r="AK136" s="131"/>
      <c r="AL136" s="131">
        <f t="shared" si="122"/>
        <v>0</v>
      </c>
      <c r="AM136" s="131"/>
      <c r="AN136" s="243">
        <f t="shared" si="123"/>
        <v>0</v>
      </c>
      <c r="AO136" s="131">
        <f t="shared" si="124"/>
        <v>0</v>
      </c>
      <c r="AP136" s="131">
        <f t="shared" si="125"/>
        <v>0</v>
      </c>
      <c r="AQ136" s="131"/>
      <c r="AR136" s="131">
        <f t="shared" si="126"/>
        <v>0</v>
      </c>
      <c r="AS136" s="131">
        <f t="shared" si="172"/>
        <v>0</v>
      </c>
      <c r="AT136" s="131">
        <f t="shared" si="127"/>
        <v>0</v>
      </c>
      <c r="AU136" s="131">
        <f t="shared" si="128"/>
        <v>0</v>
      </c>
      <c r="AV136" s="131"/>
      <c r="AW136" s="131">
        <f t="shared" si="129"/>
        <v>0</v>
      </c>
      <c r="AX136" s="131">
        <f t="shared" si="183"/>
        <v>0</v>
      </c>
      <c r="AY136" s="131">
        <f t="shared" si="130"/>
        <v>0</v>
      </c>
      <c r="AZ136" s="131"/>
      <c r="BA136" s="131">
        <f t="shared" si="184"/>
        <v>0</v>
      </c>
      <c r="BB136" s="131"/>
      <c r="BC136" s="131"/>
      <c r="BD136" s="131">
        <f t="shared" si="131"/>
        <v>0</v>
      </c>
      <c r="BE136" s="131"/>
      <c r="BF136" s="131">
        <f t="shared" si="173"/>
        <v>0</v>
      </c>
      <c r="BG136" s="131">
        <f t="shared" si="174"/>
        <v>0</v>
      </c>
      <c r="BH136" s="131"/>
      <c r="BI136" s="131"/>
      <c r="BJ136" s="131"/>
      <c r="BK136" s="131">
        <f t="shared" si="175"/>
        <v>0</v>
      </c>
      <c r="BL136" s="131"/>
      <c r="BM136" s="131"/>
      <c r="BN136" s="131">
        <f t="shared" si="176"/>
        <v>0</v>
      </c>
      <c r="BO136" s="131"/>
      <c r="BP136" s="131">
        <f t="shared" si="177"/>
        <v>0</v>
      </c>
      <c r="BQ136" s="131"/>
      <c r="BR136" s="131"/>
      <c r="BS136" s="131"/>
      <c r="BT136" s="131"/>
      <c r="BU136" s="131"/>
      <c r="BV136" s="131">
        <f t="shared" si="178"/>
        <v>0</v>
      </c>
      <c r="BW136" s="131"/>
      <c r="BX136" s="131"/>
      <c r="BY136" s="131"/>
      <c r="BZ136" s="131">
        <f t="shared" si="179"/>
        <v>0</v>
      </c>
      <c r="CA136" s="131"/>
      <c r="CB136" s="136">
        <f t="shared" si="132"/>
        <v>160.55836672570746</v>
      </c>
      <c r="CC136" s="131">
        <f t="shared" si="133"/>
        <v>0</v>
      </c>
      <c r="CD136" s="136">
        <f t="shared" si="134"/>
        <v>0</v>
      </c>
      <c r="CE136" s="131">
        <f t="shared" si="182"/>
        <v>0</v>
      </c>
      <c r="CF136" s="136">
        <f t="shared" si="135"/>
        <v>0</v>
      </c>
      <c r="CG136" s="136"/>
      <c r="CH136" s="136">
        <f t="shared" si="181"/>
        <v>0</v>
      </c>
      <c r="CI136" s="131">
        <f t="shared" si="136"/>
        <v>0</v>
      </c>
      <c r="CJ136" s="131"/>
      <c r="CK136" s="136">
        <f t="shared" si="137"/>
        <v>0</v>
      </c>
      <c r="CL136" s="136">
        <f t="shared" si="138"/>
        <v>804.25411383551102</v>
      </c>
      <c r="CM136" s="131">
        <f t="shared" si="139"/>
        <v>0</v>
      </c>
      <c r="CN136" s="136">
        <f t="shared" si="140"/>
        <v>0</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f t="shared" si="146"/>
        <v>0</v>
      </c>
      <c r="DC136" s="131">
        <f t="shared" si="105"/>
        <v>0</v>
      </c>
      <c r="DD136" s="131">
        <f t="shared" si="147"/>
        <v>0</v>
      </c>
      <c r="DE136" s="131">
        <f t="shared" si="148"/>
        <v>0</v>
      </c>
      <c r="DF136" s="131">
        <f t="shared" si="149"/>
        <v>0</v>
      </c>
      <c r="DG136" s="131">
        <f t="shared" si="150"/>
        <v>0</v>
      </c>
      <c r="DH136" s="131"/>
      <c r="DI136" s="131"/>
      <c r="DJ136" s="131"/>
      <c r="DK136" s="137">
        <f t="shared" si="180"/>
        <v>4620.5129979953599</v>
      </c>
      <c r="DL136" s="227" t="e">
        <f t="shared" si="151"/>
        <v>#REF!</v>
      </c>
      <c r="DM136" s="227" t="e">
        <f t="shared" si="152"/>
        <v>#REF!</v>
      </c>
      <c r="DN136" s="228" t="e">
        <f t="shared" si="106"/>
        <v>#REF!</v>
      </c>
      <c r="DO136" s="228">
        <f t="shared" si="153"/>
        <v>194.35242757490622</v>
      </c>
      <c r="DP136" s="228" t="e">
        <f t="shared" si="154"/>
        <v>#REF!</v>
      </c>
      <c r="DQ136" s="228" t="e">
        <f t="shared" si="155"/>
        <v>#REF!</v>
      </c>
    </row>
    <row r="137" spans="1:121">
      <c r="A137" s="132">
        <f t="shared" si="107"/>
        <v>127</v>
      </c>
      <c r="B137" s="18">
        <f t="shared" si="156"/>
        <v>127</v>
      </c>
      <c r="C137" s="18">
        <f>IF(A137=0," ",VLOOKUP(B137,'tosafot '!$A$7:$B$234,2,0))</f>
        <v>7.2018000000000004</v>
      </c>
      <c r="D137" s="220">
        <f t="shared" si="157"/>
        <v>228</v>
      </c>
      <c r="E137" s="130">
        <f t="shared" si="158"/>
        <v>12.2026</v>
      </c>
      <c r="F137" s="126">
        <f t="shared" si="159"/>
        <v>22</v>
      </c>
      <c r="G137" s="18" t="str">
        <f t="shared" si="160"/>
        <v>התחבורה</v>
      </c>
      <c r="H137" s="189">
        <f t="shared" si="161"/>
        <v>122</v>
      </c>
      <c r="I137" s="18">
        <f t="shared" si="162"/>
        <v>1</v>
      </c>
      <c r="J137" s="18" t="str">
        <f t="shared" si="163"/>
        <v>מינהלי - עובדי מדינה</v>
      </c>
      <c r="K137" s="189">
        <f t="shared" si="164"/>
        <v>1</v>
      </c>
      <c r="L137" s="18">
        <f t="shared" si="165"/>
        <v>12</v>
      </c>
      <c r="M137" s="129" t="str">
        <f t="shared" si="166"/>
        <v>17+</v>
      </c>
      <c r="N137" s="189"/>
      <c r="O137" s="132">
        <f t="shared" si="167"/>
        <v>1012</v>
      </c>
      <c r="P137" s="127">
        <f t="shared" si="168"/>
        <v>37</v>
      </c>
      <c r="Q137" s="127">
        <f t="shared" si="169"/>
        <v>36.75</v>
      </c>
      <c r="R137" s="128">
        <f t="shared" si="170"/>
        <v>148</v>
      </c>
      <c r="S137" s="130">
        <f t="shared" si="171"/>
        <v>1.4414995494685181</v>
      </c>
      <c r="T137" s="135">
        <f t="shared" si="108"/>
        <v>0</v>
      </c>
      <c r="U137" s="127">
        <f t="shared" si="109"/>
        <v>0</v>
      </c>
      <c r="V137" s="217">
        <v>0</v>
      </c>
      <c r="W137" s="191">
        <v>0</v>
      </c>
      <c r="X137" s="133">
        <v>0</v>
      </c>
      <c r="Y137" s="131">
        <f t="shared" si="110"/>
        <v>2438.5</v>
      </c>
      <c r="Z137" s="131">
        <f t="shared" si="111"/>
        <v>1076.5966513789815</v>
      </c>
      <c r="AA137" s="242">
        <f t="shared" si="112"/>
        <v>3515.0966513789817</v>
      </c>
      <c r="AB137" s="131">
        <f t="shared" si="113"/>
        <v>0</v>
      </c>
      <c r="AC137" s="131">
        <f t="shared" si="114"/>
        <v>140.60386605515927</v>
      </c>
      <c r="AD137" s="131">
        <f t="shared" si="115"/>
        <v>0</v>
      </c>
      <c r="AE137" s="131">
        <f t="shared" si="116"/>
        <v>0</v>
      </c>
      <c r="AF137" s="131">
        <f t="shared" si="117"/>
        <v>0</v>
      </c>
      <c r="AG137" s="131">
        <f t="shared" si="118"/>
        <v>0</v>
      </c>
      <c r="AH137" s="131">
        <f t="shared" si="119"/>
        <v>0</v>
      </c>
      <c r="AI137" s="131">
        <f t="shared" si="120"/>
        <v>0</v>
      </c>
      <c r="AJ137" s="131">
        <f t="shared" si="121"/>
        <v>0</v>
      </c>
      <c r="AK137" s="131"/>
      <c r="AL137" s="131">
        <f t="shared" si="122"/>
        <v>0</v>
      </c>
      <c r="AM137" s="131"/>
      <c r="AN137" s="243">
        <f t="shared" si="123"/>
        <v>0</v>
      </c>
      <c r="AO137" s="131">
        <f t="shared" si="124"/>
        <v>0</v>
      </c>
      <c r="AP137" s="131">
        <f t="shared" si="125"/>
        <v>0</v>
      </c>
      <c r="AQ137" s="131"/>
      <c r="AR137" s="131">
        <f t="shared" si="126"/>
        <v>0</v>
      </c>
      <c r="AS137" s="131">
        <f t="shared" si="172"/>
        <v>0</v>
      </c>
      <c r="AT137" s="131">
        <f t="shared" si="127"/>
        <v>0</v>
      </c>
      <c r="AU137" s="131">
        <f t="shared" si="128"/>
        <v>0</v>
      </c>
      <c r="AV137" s="131"/>
      <c r="AW137" s="131">
        <f t="shared" si="129"/>
        <v>0</v>
      </c>
      <c r="AX137" s="131">
        <f t="shared" si="183"/>
        <v>0</v>
      </c>
      <c r="AY137" s="131">
        <f t="shared" si="130"/>
        <v>0</v>
      </c>
      <c r="AZ137" s="131"/>
      <c r="BA137" s="131">
        <f t="shared" si="184"/>
        <v>0</v>
      </c>
      <c r="BB137" s="131"/>
      <c r="BC137" s="131"/>
      <c r="BD137" s="131">
        <f t="shared" si="131"/>
        <v>0</v>
      </c>
      <c r="BE137" s="131"/>
      <c r="BF137" s="131">
        <f t="shared" si="173"/>
        <v>0</v>
      </c>
      <c r="BG137" s="131">
        <f t="shared" si="174"/>
        <v>0</v>
      </c>
      <c r="BH137" s="131"/>
      <c r="BI137" s="131"/>
      <c r="BJ137" s="131"/>
      <c r="BK137" s="131">
        <f t="shared" si="175"/>
        <v>0</v>
      </c>
      <c r="BL137" s="131"/>
      <c r="BM137" s="131"/>
      <c r="BN137" s="131">
        <f t="shared" si="176"/>
        <v>0</v>
      </c>
      <c r="BO137" s="131"/>
      <c r="BP137" s="131">
        <f t="shared" si="177"/>
        <v>0</v>
      </c>
      <c r="BQ137" s="131"/>
      <c r="BR137" s="131"/>
      <c r="BS137" s="131"/>
      <c r="BT137" s="131"/>
      <c r="BU137" s="131"/>
      <c r="BV137" s="131">
        <f t="shared" si="178"/>
        <v>0</v>
      </c>
      <c r="BW137" s="131"/>
      <c r="BX137" s="131"/>
      <c r="BY137" s="131"/>
      <c r="BZ137" s="131">
        <f t="shared" si="179"/>
        <v>0</v>
      </c>
      <c r="CA137" s="131"/>
      <c r="CB137" s="136">
        <f t="shared" si="132"/>
        <v>160.55836672570746</v>
      </c>
      <c r="CC137" s="131">
        <f t="shared" si="133"/>
        <v>0</v>
      </c>
      <c r="CD137" s="136">
        <f t="shared" si="134"/>
        <v>0</v>
      </c>
      <c r="CE137" s="131">
        <f t="shared" si="182"/>
        <v>0</v>
      </c>
      <c r="CF137" s="136">
        <f t="shared" si="135"/>
        <v>0</v>
      </c>
      <c r="CG137" s="136"/>
      <c r="CH137" s="136">
        <f t="shared" si="181"/>
        <v>0</v>
      </c>
      <c r="CI137" s="131">
        <f t="shared" si="136"/>
        <v>0</v>
      </c>
      <c r="CJ137" s="131"/>
      <c r="CK137" s="136">
        <f t="shared" si="137"/>
        <v>0</v>
      </c>
      <c r="CL137" s="136">
        <f t="shared" si="138"/>
        <v>804.25411383551102</v>
      </c>
      <c r="CM137" s="131">
        <f t="shared" si="139"/>
        <v>0</v>
      </c>
      <c r="CN137" s="136">
        <f t="shared" si="140"/>
        <v>0</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f t="shared" si="146"/>
        <v>0</v>
      </c>
      <c r="DC137" s="131">
        <f t="shared" si="105"/>
        <v>0</v>
      </c>
      <c r="DD137" s="131">
        <f t="shared" si="147"/>
        <v>0</v>
      </c>
      <c r="DE137" s="131">
        <f t="shared" si="148"/>
        <v>0</v>
      </c>
      <c r="DF137" s="131">
        <f t="shared" si="149"/>
        <v>0</v>
      </c>
      <c r="DG137" s="131">
        <f t="shared" si="150"/>
        <v>0</v>
      </c>
      <c r="DH137" s="131"/>
      <c r="DI137" s="131"/>
      <c r="DJ137" s="131"/>
      <c r="DK137" s="137">
        <f t="shared" si="180"/>
        <v>4620.5129979953599</v>
      </c>
      <c r="DL137" s="227" t="e">
        <f t="shared" si="151"/>
        <v>#REF!</v>
      </c>
      <c r="DM137" s="227" t="e">
        <f t="shared" si="152"/>
        <v>#REF!</v>
      </c>
      <c r="DN137" s="228" t="e">
        <f t="shared" si="106"/>
        <v>#REF!</v>
      </c>
      <c r="DO137" s="228">
        <f t="shared" si="153"/>
        <v>194.35242757490622</v>
      </c>
      <c r="DP137" s="228" t="e">
        <f t="shared" si="154"/>
        <v>#REF!</v>
      </c>
      <c r="DQ137" s="228" t="e">
        <f t="shared" si="155"/>
        <v>#REF!</v>
      </c>
    </row>
    <row r="138" spans="1:121">
      <c r="A138" s="132">
        <f t="shared" si="107"/>
        <v>128</v>
      </c>
      <c r="B138" s="18">
        <f t="shared" si="156"/>
        <v>128</v>
      </c>
      <c r="C138" s="18">
        <f>IF(A138=0," ",VLOOKUP(B138,'tosafot '!$A$7:$B$234,2,0))</f>
        <v>8.2018000000000004</v>
      </c>
      <c r="D138" s="220">
        <f t="shared" si="157"/>
        <v>228</v>
      </c>
      <c r="E138" s="130">
        <f t="shared" si="158"/>
        <v>12.2026</v>
      </c>
      <c r="F138" s="126">
        <f t="shared" si="159"/>
        <v>22</v>
      </c>
      <c r="G138" s="18" t="str">
        <f t="shared" si="160"/>
        <v>התחבורה</v>
      </c>
      <c r="H138" s="189">
        <f t="shared" si="161"/>
        <v>122</v>
      </c>
      <c r="I138" s="18">
        <f t="shared" si="162"/>
        <v>1</v>
      </c>
      <c r="J138" s="18" t="str">
        <f t="shared" si="163"/>
        <v>מינהלי - עובדי מדינה</v>
      </c>
      <c r="K138" s="189">
        <f t="shared" si="164"/>
        <v>1</v>
      </c>
      <c r="L138" s="18">
        <f t="shared" si="165"/>
        <v>12</v>
      </c>
      <c r="M138" s="129" t="str">
        <f t="shared" si="166"/>
        <v>17+</v>
      </c>
      <c r="N138" s="189"/>
      <c r="O138" s="132">
        <f t="shared" si="167"/>
        <v>1012</v>
      </c>
      <c r="P138" s="127">
        <f t="shared" si="168"/>
        <v>37</v>
      </c>
      <c r="Q138" s="127">
        <f t="shared" si="169"/>
        <v>36.75</v>
      </c>
      <c r="R138" s="128">
        <f t="shared" si="170"/>
        <v>148</v>
      </c>
      <c r="S138" s="130">
        <f t="shared" si="171"/>
        <v>1.4414995494685181</v>
      </c>
      <c r="T138" s="135">
        <f t="shared" si="108"/>
        <v>0</v>
      </c>
      <c r="U138" s="127">
        <f t="shared" si="109"/>
        <v>0</v>
      </c>
      <c r="V138" s="217">
        <v>0</v>
      </c>
      <c r="W138" s="191">
        <v>0</v>
      </c>
      <c r="X138" s="133">
        <v>0</v>
      </c>
      <c r="Y138" s="131">
        <f t="shared" si="110"/>
        <v>2438.5</v>
      </c>
      <c r="Z138" s="131">
        <f t="shared" si="111"/>
        <v>1076.5966513789815</v>
      </c>
      <c r="AA138" s="242">
        <f t="shared" si="112"/>
        <v>3515.0966513789817</v>
      </c>
      <c r="AB138" s="131">
        <f t="shared" si="113"/>
        <v>0</v>
      </c>
      <c r="AC138" s="131">
        <f t="shared" si="114"/>
        <v>140.60386605515927</v>
      </c>
      <c r="AD138" s="131">
        <f t="shared" si="115"/>
        <v>0</v>
      </c>
      <c r="AE138" s="131">
        <f t="shared" si="116"/>
        <v>0</v>
      </c>
      <c r="AF138" s="131">
        <f t="shared" si="117"/>
        <v>0</v>
      </c>
      <c r="AG138" s="131">
        <f t="shared" si="118"/>
        <v>0</v>
      </c>
      <c r="AH138" s="131">
        <f t="shared" si="119"/>
        <v>0</v>
      </c>
      <c r="AI138" s="131">
        <f t="shared" si="120"/>
        <v>0</v>
      </c>
      <c r="AJ138" s="131">
        <f t="shared" si="121"/>
        <v>0</v>
      </c>
      <c r="AK138" s="131"/>
      <c r="AL138" s="131">
        <f t="shared" si="122"/>
        <v>0</v>
      </c>
      <c r="AM138" s="131"/>
      <c r="AN138" s="243">
        <f t="shared" si="123"/>
        <v>0</v>
      </c>
      <c r="AO138" s="131">
        <f t="shared" si="124"/>
        <v>0</v>
      </c>
      <c r="AP138" s="131">
        <f t="shared" si="125"/>
        <v>0</v>
      </c>
      <c r="AQ138" s="131"/>
      <c r="AR138" s="131">
        <f t="shared" si="126"/>
        <v>0</v>
      </c>
      <c r="AS138" s="131">
        <f t="shared" si="172"/>
        <v>0</v>
      </c>
      <c r="AT138" s="131">
        <f t="shared" si="127"/>
        <v>0</v>
      </c>
      <c r="AU138" s="131">
        <f t="shared" si="128"/>
        <v>0</v>
      </c>
      <c r="AV138" s="131"/>
      <c r="AW138" s="131">
        <f t="shared" si="129"/>
        <v>0</v>
      </c>
      <c r="AX138" s="131">
        <f t="shared" si="183"/>
        <v>0</v>
      </c>
      <c r="AY138" s="131">
        <f t="shared" si="130"/>
        <v>0</v>
      </c>
      <c r="AZ138" s="131"/>
      <c r="BA138" s="131">
        <f t="shared" si="184"/>
        <v>0</v>
      </c>
      <c r="BB138" s="131"/>
      <c r="BC138" s="131"/>
      <c r="BD138" s="131">
        <f t="shared" si="131"/>
        <v>0</v>
      </c>
      <c r="BE138" s="131"/>
      <c r="BF138" s="131">
        <f t="shared" si="173"/>
        <v>0</v>
      </c>
      <c r="BG138" s="131">
        <f t="shared" si="174"/>
        <v>0</v>
      </c>
      <c r="BH138" s="131"/>
      <c r="BI138" s="131"/>
      <c r="BJ138" s="131"/>
      <c r="BK138" s="131">
        <f t="shared" si="175"/>
        <v>0</v>
      </c>
      <c r="BL138" s="131"/>
      <c r="BM138" s="131"/>
      <c r="BN138" s="131">
        <f t="shared" si="176"/>
        <v>0</v>
      </c>
      <c r="BO138" s="131"/>
      <c r="BP138" s="131">
        <f t="shared" si="177"/>
        <v>0</v>
      </c>
      <c r="BQ138" s="131"/>
      <c r="BR138" s="131"/>
      <c r="BS138" s="131"/>
      <c r="BT138" s="131"/>
      <c r="BU138" s="131"/>
      <c r="BV138" s="131">
        <f t="shared" si="178"/>
        <v>0</v>
      </c>
      <c r="BW138" s="131"/>
      <c r="BX138" s="131"/>
      <c r="BY138" s="131"/>
      <c r="BZ138" s="131">
        <f t="shared" si="179"/>
        <v>0</v>
      </c>
      <c r="CA138" s="131"/>
      <c r="CB138" s="136">
        <f t="shared" si="132"/>
        <v>160.55836672570746</v>
      </c>
      <c r="CC138" s="131">
        <f t="shared" si="133"/>
        <v>0</v>
      </c>
      <c r="CD138" s="136">
        <f t="shared" si="134"/>
        <v>0</v>
      </c>
      <c r="CE138" s="131">
        <f t="shared" si="182"/>
        <v>0</v>
      </c>
      <c r="CF138" s="136">
        <f t="shared" si="135"/>
        <v>0</v>
      </c>
      <c r="CG138" s="136"/>
      <c r="CH138" s="136">
        <f t="shared" si="181"/>
        <v>0</v>
      </c>
      <c r="CI138" s="131">
        <f t="shared" si="136"/>
        <v>0</v>
      </c>
      <c r="CJ138" s="131"/>
      <c r="CK138" s="136">
        <f t="shared" si="137"/>
        <v>0</v>
      </c>
      <c r="CL138" s="136">
        <f t="shared" si="138"/>
        <v>804.25411383551102</v>
      </c>
      <c r="CM138" s="131">
        <f t="shared" si="139"/>
        <v>0</v>
      </c>
      <c r="CN138" s="136">
        <f t="shared" si="140"/>
        <v>0</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f t="shared" si="146"/>
        <v>0</v>
      </c>
      <c r="DC138" s="131">
        <f t="shared" si="105"/>
        <v>0</v>
      </c>
      <c r="DD138" s="131">
        <f t="shared" si="147"/>
        <v>0</v>
      </c>
      <c r="DE138" s="131">
        <f t="shared" si="148"/>
        <v>0</v>
      </c>
      <c r="DF138" s="131">
        <f t="shared" si="149"/>
        <v>0</v>
      </c>
      <c r="DG138" s="131">
        <f t="shared" si="150"/>
        <v>0</v>
      </c>
      <c r="DH138" s="131"/>
      <c r="DI138" s="131"/>
      <c r="DJ138" s="131"/>
      <c r="DK138" s="137">
        <f t="shared" si="180"/>
        <v>4620.5129979953599</v>
      </c>
      <c r="DL138" s="227" t="e">
        <f t="shared" si="151"/>
        <v>#REF!</v>
      </c>
      <c r="DM138" s="227" t="e">
        <f t="shared" si="152"/>
        <v>#REF!</v>
      </c>
      <c r="DN138" s="228" t="e">
        <f t="shared" si="106"/>
        <v>#REF!</v>
      </c>
      <c r="DO138" s="228">
        <f t="shared" si="153"/>
        <v>194.35242757490622</v>
      </c>
      <c r="DP138" s="228" t="e">
        <f t="shared" si="154"/>
        <v>#REF!</v>
      </c>
      <c r="DQ138" s="228" t="e">
        <f t="shared" si="155"/>
        <v>#REF!</v>
      </c>
    </row>
    <row r="139" spans="1:121">
      <c r="A139" s="132">
        <f t="shared" si="107"/>
        <v>129</v>
      </c>
      <c r="B139" s="18">
        <f t="shared" si="156"/>
        <v>129</v>
      </c>
      <c r="C139" s="18">
        <f>IF(A139=0," ",VLOOKUP(B139,'tosafot '!$A$7:$B$234,2,0))</f>
        <v>9.2018000000000004</v>
      </c>
      <c r="D139" s="220">
        <f t="shared" si="157"/>
        <v>228</v>
      </c>
      <c r="E139" s="130">
        <f t="shared" si="158"/>
        <v>12.2026</v>
      </c>
      <c r="F139" s="126">
        <f t="shared" si="159"/>
        <v>22</v>
      </c>
      <c r="G139" s="18" t="str">
        <f t="shared" si="160"/>
        <v>התחבורה</v>
      </c>
      <c r="H139" s="189">
        <f t="shared" si="161"/>
        <v>122</v>
      </c>
      <c r="I139" s="18">
        <f t="shared" si="162"/>
        <v>1</v>
      </c>
      <c r="J139" s="18" t="str">
        <f t="shared" si="163"/>
        <v>מינהלי - עובדי מדינה</v>
      </c>
      <c r="K139" s="189">
        <f t="shared" si="164"/>
        <v>1</v>
      </c>
      <c r="L139" s="18">
        <f t="shared" si="165"/>
        <v>12</v>
      </c>
      <c r="M139" s="129" t="str">
        <f t="shared" si="166"/>
        <v>17+</v>
      </c>
      <c r="N139" s="189"/>
      <c r="O139" s="132">
        <f t="shared" si="167"/>
        <v>1012</v>
      </c>
      <c r="P139" s="127">
        <f t="shared" si="168"/>
        <v>37</v>
      </c>
      <c r="Q139" s="127">
        <f t="shared" si="169"/>
        <v>36.75</v>
      </c>
      <c r="R139" s="128">
        <f t="shared" si="170"/>
        <v>148</v>
      </c>
      <c r="S139" s="130">
        <f t="shared" si="171"/>
        <v>1.4414995494685181</v>
      </c>
      <c r="T139" s="135">
        <f t="shared" si="108"/>
        <v>0</v>
      </c>
      <c r="U139" s="127">
        <f t="shared" si="109"/>
        <v>0</v>
      </c>
      <c r="V139" s="217">
        <v>0</v>
      </c>
      <c r="W139" s="191">
        <v>0</v>
      </c>
      <c r="X139" s="133">
        <v>0</v>
      </c>
      <c r="Y139" s="131">
        <f t="shared" si="110"/>
        <v>2438.5</v>
      </c>
      <c r="Z139" s="131">
        <f t="shared" si="111"/>
        <v>1076.5966513789815</v>
      </c>
      <c r="AA139" s="242">
        <f t="shared" si="112"/>
        <v>3515.0966513789817</v>
      </c>
      <c r="AB139" s="131">
        <f t="shared" si="113"/>
        <v>0</v>
      </c>
      <c r="AC139" s="131">
        <f t="shared" si="114"/>
        <v>140.60386605515927</v>
      </c>
      <c r="AD139" s="131">
        <f t="shared" si="115"/>
        <v>0</v>
      </c>
      <c r="AE139" s="131">
        <f t="shared" si="116"/>
        <v>0</v>
      </c>
      <c r="AF139" s="131">
        <f t="shared" si="117"/>
        <v>0</v>
      </c>
      <c r="AG139" s="131">
        <f t="shared" si="118"/>
        <v>0</v>
      </c>
      <c r="AH139" s="131">
        <f t="shared" si="119"/>
        <v>0</v>
      </c>
      <c r="AI139" s="131">
        <f t="shared" si="120"/>
        <v>0</v>
      </c>
      <c r="AJ139" s="131">
        <f t="shared" si="121"/>
        <v>0</v>
      </c>
      <c r="AK139" s="131"/>
      <c r="AL139" s="131">
        <f t="shared" si="122"/>
        <v>0</v>
      </c>
      <c r="AM139" s="131"/>
      <c r="AN139" s="243">
        <f t="shared" si="123"/>
        <v>0</v>
      </c>
      <c r="AO139" s="131">
        <f t="shared" si="124"/>
        <v>0</v>
      </c>
      <c r="AP139" s="131">
        <f t="shared" si="125"/>
        <v>0</v>
      </c>
      <c r="AQ139" s="131"/>
      <c r="AR139" s="131">
        <f t="shared" si="126"/>
        <v>0</v>
      </c>
      <c r="AS139" s="131">
        <f t="shared" si="172"/>
        <v>0</v>
      </c>
      <c r="AT139" s="131">
        <f t="shared" si="127"/>
        <v>0</v>
      </c>
      <c r="AU139" s="131">
        <f t="shared" si="128"/>
        <v>0</v>
      </c>
      <c r="AV139" s="131"/>
      <c r="AW139" s="131">
        <f t="shared" si="129"/>
        <v>0</v>
      </c>
      <c r="AX139" s="131">
        <f t="shared" si="183"/>
        <v>0</v>
      </c>
      <c r="AY139" s="131">
        <f t="shared" si="130"/>
        <v>0</v>
      </c>
      <c r="AZ139" s="131"/>
      <c r="BA139" s="131">
        <f t="shared" si="184"/>
        <v>0</v>
      </c>
      <c r="BB139" s="131"/>
      <c r="BC139" s="131"/>
      <c r="BD139" s="131">
        <f t="shared" si="131"/>
        <v>0</v>
      </c>
      <c r="BE139" s="131"/>
      <c r="BF139" s="131">
        <f t="shared" si="173"/>
        <v>0</v>
      </c>
      <c r="BG139" s="131">
        <f t="shared" si="174"/>
        <v>0</v>
      </c>
      <c r="BH139" s="131"/>
      <c r="BI139" s="131"/>
      <c r="BJ139" s="131"/>
      <c r="BK139" s="131">
        <f t="shared" si="175"/>
        <v>0</v>
      </c>
      <c r="BL139" s="131"/>
      <c r="BM139" s="131"/>
      <c r="BN139" s="131">
        <f t="shared" si="176"/>
        <v>0</v>
      </c>
      <c r="BO139" s="131"/>
      <c r="BP139" s="131">
        <f t="shared" si="177"/>
        <v>0</v>
      </c>
      <c r="BQ139" s="131"/>
      <c r="BR139" s="131"/>
      <c r="BS139" s="131"/>
      <c r="BT139" s="131"/>
      <c r="BU139" s="131"/>
      <c r="BV139" s="131">
        <f t="shared" si="178"/>
        <v>0</v>
      </c>
      <c r="BW139" s="131"/>
      <c r="BX139" s="131"/>
      <c r="BY139" s="131"/>
      <c r="BZ139" s="131">
        <f t="shared" si="179"/>
        <v>0</v>
      </c>
      <c r="CA139" s="131"/>
      <c r="CB139" s="136">
        <f t="shared" si="132"/>
        <v>160.55836672570746</v>
      </c>
      <c r="CC139" s="131">
        <f t="shared" si="133"/>
        <v>0</v>
      </c>
      <c r="CD139" s="136">
        <f t="shared" si="134"/>
        <v>0</v>
      </c>
      <c r="CE139" s="131">
        <f t="shared" si="182"/>
        <v>0</v>
      </c>
      <c r="CF139" s="136">
        <f t="shared" si="135"/>
        <v>0</v>
      </c>
      <c r="CG139" s="136"/>
      <c r="CH139" s="136">
        <f t="shared" si="181"/>
        <v>0</v>
      </c>
      <c r="CI139" s="131">
        <f t="shared" si="136"/>
        <v>0</v>
      </c>
      <c r="CJ139" s="131"/>
      <c r="CK139" s="136">
        <f t="shared" si="137"/>
        <v>0</v>
      </c>
      <c r="CL139" s="136">
        <f t="shared" si="138"/>
        <v>804.25411383551102</v>
      </c>
      <c r="CM139" s="131">
        <f t="shared" si="139"/>
        <v>0</v>
      </c>
      <c r="CN139" s="136">
        <f t="shared" si="140"/>
        <v>0</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f t="shared" si="146"/>
        <v>0</v>
      </c>
      <c r="DC139" s="131">
        <f t="shared" ref="DC139:DC202" si="185">IF(A139=0," ",+U139)</f>
        <v>0</v>
      </c>
      <c r="DD139" s="131">
        <f t="shared" si="147"/>
        <v>0</v>
      </c>
      <c r="DE139" s="131">
        <f t="shared" si="148"/>
        <v>0</v>
      </c>
      <c r="DF139" s="131">
        <f t="shared" si="149"/>
        <v>0</v>
      </c>
      <c r="DG139" s="131">
        <f t="shared" si="150"/>
        <v>0</v>
      </c>
      <c r="DH139" s="131"/>
      <c r="DI139" s="131"/>
      <c r="DJ139" s="131"/>
      <c r="DK139" s="137">
        <f t="shared" si="180"/>
        <v>4620.5129979953599</v>
      </c>
      <c r="DL139" s="227" t="e">
        <f t="shared" si="151"/>
        <v>#REF!</v>
      </c>
      <c r="DM139" s="227" t="e">
        <f t="shared" si="152"/>
        <v>#REF!</v>
      </c>
      <c r="DN139" s="228" t="e">
        <f t="shared" ref="DN139:DN202" si="186">IF(A139=0," ",+DK139*DL139*DM139)</f>
        <v>#REF!</v>
      </c>
      <c r="DO139" s="228">
        <f t="shared" si="153"/>
        <v>194.35242757490622</v>
      </c>
      <c r="DP139" s="228" t="e">
        <f t="shared" si="154"/>
        <v>#REF!</v>
      </c>
      <c r="DQ139" s="228" t="e">
        <f t="shared" si="155"/>
        <v>#REF!</v>
      </c>
    </row>
    <row r="140" spans="1:121">
      <c r="A140" s="132">
        <f t="shared" ref="A140:A161" si="187">IF(A139=0,0,IF(B139+1&gt;$D$9,0,A139+1))</f>
        <v>130</v>
      </c>
      <c r="B140" s="18">
        <f t="shared" si="156"/>
        <v>130</v>
      </c>
      <c r="C140" s="18">
        <f>IF(A140=0," ",VLOOKUP(B140,'tosafot '!$A$7:$B$234,2,0))</f>
        <v>10.2018</v>
      </c>
      <c r="D140" s="220">
        <f t="shared" si="157"/>
        <v>228</v>
      </c>
      <c r="E140" s="130">
        <f t="shared" si="158"/>
        <v>12.2026</v>
      </c>
      <c r="F140" s="126">
        <f t="shared" si="159"/>
        <v>22</v>
      </c>
      <c r="G140" s="18" t="str">
        <f t="shared" si="160"/>
        <v>התחבורה</v>
      </c>
      <c r="H140" s="189">
        <f t="shared" si="161"/>
        <v>122</v>
      </c>
      <c r="I140" s="18">
        <f t="shared" si="162"/>
        <v>1</v>
      </c>
      <c r="J140" s="18" t="str">
        <f t="shared" si="163"/>
        <v>מינהלי - עובדי מדינה</v>
      </c>
      <c r="K140" s="189">
        <f t="shared" si="164"/>
        <v>1</v>
      </c>
      <c r="L140" s="18">
        <f t="shared" si="165"/>
        <v>12</v>
      </c>
      <c r="M140" s="129" t="str">
        <f t="shared" si="166"/>
        <v>17+</v>
      </c>
      <c r="N140" s="189"/>
      <c r="O140" s="132">
        <f t="shared" si="167"/>
        <v>1012</v>
      </c>
      <c r="P140" s="127">
        <f t="shared" si="168"/>
        <v>37</v>
      </c>
      <c r="Q140" s="127">
        <f t="shared" si="169"/>
        <v>36.75</v>
      </c>
      <c r="R140" s="128">
        <f t="shared" si="170"/>
        <v>148</v>
      </c>
      <c r="S140" s="130">
        <f t="shared" si="171"/>
        <v>1.4414995494685181</v>
      </c>
      <c r="T140" s="135">
        <f t="shared" ref="T140:T203" si="188">IF(A140=0," ",+T139)</f>
        <v>0</v>
      </c>
      <c r="U140" s="127">
        <f t="shared" ref="U140:U203" si="189">IF(A140=0," ",+U139)</f>
        <v>0</v>
      </c>
      <c r="V140" s="217">
        <v>0</v>
      </c>
      <c r="W140" s="191">
        <v>0</v>
      </c>
      <c r="X140" s="133">
        <v>0</v>
      </c>
      <c r="Y140" s="131">
        <f t="shared" ref="Y140:Y203" si="190">IF(A140=0," ",+Y139)</f>
        <v>2438.5</v>
      </c>
      <c r="Z140" s="131">
        <f t="shared" ref="Z140:Z203" si="191">IF(A140=0," ",+Z139)</f>
        <v>1076.5966513789815</v>
      </c>
      <c r="AA140" s="242">
        <f t="shared" ref="AA140:AA203" si="192">IF(A140=0," ",AA139)</f>
        <v>3515.0966513789817</v>
      </c>
      <c r="AB140" s="131">
        <f t="shared" ref="AB140:AB203" si="193">IF(A140=0," ",AB139)</f>
        <v>0</v>
      </c>
      <c r="AC140" s="131">
        <f t="shared" ref="AC140:AC203" si="194">IF(A140=0," ",AC139)</f>
        <v>140.60386605515927</v>
      </c>
      <c r="AD140" s="131">
        <f t="shared" ref="AD140:AD203" si="195">IF(A140=0," ",AD139)</f>
        <v>0</v>
      </c>
      <c r="AE140" s="131">
        <f t="shared" ref="AE140:AE203" si="196">IF(A140=0," ",AE139)</f>
        <v>0</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f t="shared" ref="AN140:AN203" si="203">IF(A140=0," ",AN139)</f>
        <v>0</v>
      </c>
      <c r="AO140" s="131">
        <f t="shared" ref="AO140:AO203" si="204">IF(A140=0," ",AO139)</f>
        <v>0</v>
      </c>
      <c r="AP140" s="131">
        <f t="shared" ref="AP140:AP203" si="205">IF(A140=0," ",AP139)</f>
        <v>0</v>
      </c>
      <c r="AQ140" s="131"/>
      <c r="AR140" s="131">
        <f t="shared" ref="AR140:AR203" si="206">IF(A140=0," ",AR139)</f>
        <v>0</v>
      </c>
      <c r="AS140" s="131">
        <f t="shared" si="172"/>
        <v>0</v>
      </c>
      <c r="AT140" s="131">
        <f t="shared" ref="AT140:AT203" si="207">IF(A140=0," ",AT139)</f>
        <v>0</v>
      </c>
      <c r="AU140" s="131">
        <f t="shared" ref="AU140:AU203" si="208">IF(A140=0," ",AU139)</f>
        <v>0</v>
      </c>
      <c r="AV140" s="131"/>
      <c r="AW140" s="131">
        <f t="shared" ref="AW140:AW203" si="209">IF(A140=0," ",AW139)</f>
        <v>0</v>
      </c>
      <c r="AX140" s="131">
        <f t="shared" si="183"/>
        <v>0</v>
      </c>
      <c r="AY140" s="131">
        <f t="shared" ref="AY140:AY203" si="210">IF(A140=0," ",AY139)</f>
        <v>0</v>
      </c>
      <c r="AZ140" s="131"/>
      <c r="BA140" s="131">
        <f t="shared" si="184"/>
        <v>0</v>
      </c>
      <c r="BB140" s="131"/>
      <c r="BC140" s="131"/>
      <c r="BD140" s="131">
        <f t="shared" ref="BD140:BD203" si="211">IF(A140=0," ",BD139)</f>
        <v>0</v>
      </c>
      <c r="BE140" s="131"/>
      <c r="BF140" s="131">
        <f t="shared" si="173"/>
        <v>0</v>
      </c>
      <c r="BG140" s="131">
        <f t="shared" si="174"/>
        <v>0</v>
      </c>
      <c r="BH140" s="131"/>
      <c r="BI140" s="131"/>
      <c r="BJ140" s="131"/>
      <c r="BK140" s="131">
        <f t="shared" si="175"/>
        <v>0</v>
      </c>
      <c r="BL140" s="131"/>
      <c r="BM140" s="131"/>
      <c r="BN140" s="131">
        <f t="shared" si="176"/>
        <v>0</v>
      </c>
      <c r="BO140" s="131"/>
      <c r="BP140" s="131">
        <f t="shared" si="177"/>
        <v>0</v>
      </c>
      <c r="BQ140" s="131"/>
      <c r="BR140" s="131"/>
      <c r="BS140" s="131"/>
      <c r="BT140" s="131"/>
      <c r="BU140" s="131"/>
      <c r="BV140" s="131">
        <f t="shared" si="178"/>
        <v>0</v>
      </c>
      <c r="BW140" s="131"/>
      <c r="BX140" s="131"/>
      <c r="BY140" s="131"/>
      <c r="BZ140" s="131">
        <f t="shared" si="179"/>
        <v>0</v>
      </c>
      <c r="CA140" s="131"/>
      <c r="CB140" s="136">
        <f t="shared" ref="CB140:CB203" si="212">IF(A140=0," ",+CB139)</f>
        <v>160.55836672570746</v>
      </c>
      <c r="CC140" s="131">
        <f t="shared" ref="CC140:CC203" si="213">IF(A140=0," ",CC139)</f>
        <v>0</v>
      </c>
      <c r="CD140" s="136">
        <f t="shared" ref="CD140:CD203" si="214">IF(A140=0," ",CD139)</f>
        <v>0</v>
      </c>
      <c r="CE140" s="131">
        <f t="shared" si="182"/>
        <v>0</v>
      </c>
      <c r="CF140" s="136">
        <f t="shared" ref="CF140:CF203" si="215">IF(A140=0," ",+CF139)</f>
        <v>0</v>
      </c>
      <c r="CG140" s="136"/>
      <c r="CH140" s="136">
        <f t="shared" si="181"/>
        <v>0</v>
      </c>
      <c r="CI140" s="131">
        <f t="shared" ref="CI140:CI203" si="216">IF(A140=0," ",CI139)</f>
        <v>0</v>
      </c>
      <c r="CJ140" s="131"/>
      <c r="CK140" s="136">
        <f t="shared" ref="CK140:CK203" si="217">IF(A140=0," ",+CK139)</f>
        <v>0</v>
      </c>
      <c r="CL140" s="136">
        <f t="shared" ref="CL140:CL203" si="218">IF(A140=0," ",+CL139)</f>
        <v>804.25411383551102</v>
      </c>
      <c r="CM140" s="131">
        <f t="shared" ref="CM140:CM203" si="219">IF(A140=0," ",CM139)</f>
        <v>0</v>
      </c>
      <c r="CN140" s="136">
        <f t="shared" ref="CN140:CN203" si="220">IF(A140=0," ",+CN139)</f>
        <v>0</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f t="shared" ref="DB140:DB203" si="226">IF(A140=0," ",+DB139)</f>
        <v>0</v>
      </c>
      <c r="DC140" s="131">
        <f t="shared" si="185"/>
        <v>0</v>
      </c>
      <c r="DD140" s="131">
        <f t="shared" ref="DD140:DD203" si="227">IF(A140=0," ",DD139)</f>
        <v>0</v>
      </c>
      <c r="DE140" s="131">
        <f t="shared" ref="DE140:DE203" si="228">IF(A140=0," ",DE139)</f>
        <v>0</v>
      </c>
      <c r="DF140" s="131">
        <f t="shared" ref="DF140:DF203" si="229">IF(A140=0," ",DF139)</f>
        <v>0</v>
      </c>
      <c r="DG140" s="131">
        <f t="shared" ref="DG140:DG203" si="230">IF(A140=0," ",DG139)</f>
        <v>0</v>
      </c>
      <c r="DH140" s="131"/>
      <c r="DI140" s="131"/>
      <c r="DJ140" s="131"/>
      <c r="DK140" s="137">
        <f t="shared" si="180"/>
        <v>4620.5129979953599</v>
      </c>
      <c r="DL140" s="227" t="e">
        <f t="shared" ref="DL140:DL203" si="231">IF(A140=0," ",DL139)</f>
        <v>#REF!</v>
      </c>
      <c r="DM140" s="227" t="e">
        <f t="shared" ref="DM140:DM203" si="232">IF(A140=0," ",DM139)</f>
        <v>#REF!</v>
      </c>
      <c r="DN140" s="228" t="e">
        <f t="shared" si="186"/>
        <v>#REF!</v>
      </c>
      <c r="DO140" s="228">
        <f t="shared" ref="DO140:DO203" si="233">IF(A140=0," ",DO139)</f>
        <v>194.35242757490622</v>
      </c>
      <c r="DP140" s="228" t="e">
        <f t="shared" ref="DP140:DP203" si="234">IF(A139=0," ",DP139)</f>
        <v>#REF!</v>
      </c>
      <c r="DQ140" s="228" t="e">
        <f t="shared" ref="DQ140:DQ203" si="235">IF(A139=0," ",DQ139)</f>
        <v>#REF!</v>
      </c>
    </row>
    <row r="141" spans="1:121">
      <c r="A141" s="132">
        <f t="shared" si="187"/>
        <v>131</v>
      </c>
      <c r="B141" s="18">
        <f t="shared" ref="B141:B204" si="236">IF(A141=0," ",B140+1)</f>
        <v>131</v>
      </c>
      <c r="C141" s="18">
        <f>IF(A141=0," ",VLOOKUP(B141,'tosafot '!$A$7:$B$234,2,0))</f>
        <v>11.2018</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1</v>
      </c>
      <c r="J141" s="18" t="str">
        <f t="shared" ref="J141:J204" si="243">IF(A141=0," ",+J140)</f>
        <v>מינהלי - עובדי מדינה</v>
      </c>
      <c r="K141" s="189">
        <f t="shared" ref="K141:K204" si="244">IF(A141=0," ",+K140)</f>
        <v>1</v>
      </c>
      <c r="L141" s="18">
        <f t="shared" ref="L141:L204" si="245">IF(A141=0," ",+L140)</f>
        <v>12</v>
      </c>
      <c r="M141" s="129" t="str">
        <f t="shared" ref="M141:M204" si="246">IF(A141=0," ",+M140)</f>
        <v>17+</v>
      </c>
      <c r="N141" s="189"/>
      <c r="O141" s="132">
        <f t="shared" ref="O141:O204" si="247">IF(A141=0," ",+O140)</f>
        <v>1012</v>
      </c>
      <c r="P141" s="127">
        <f t="shared" ref="P141:P204" si="248">IF(A141=0," ",P140)</f>
        <v>37</v>
      </c>
      <c r="Q141" s="127">
        <f t="shared" ref="Q141:Q204" si="249">IF(A141=0," ",+Q140)</f>
        <v>36.75</v>
      </c>
      <c r="R141" s="128">
        <f t="shared" ref="R141:R204" si="250">IF(A141=0," ",+R140)</f>
        <v>148</v>
      </c>
      <c r="S141" s="130">
        <f t="shared" ref="S141:S204" si="251">IF(A141=0," ",+S140)</f>
        <v>1.4414995494685181</v>
      </c>
      <c r="T141" s="135">
        <f t="shared" si="188"/>
        <v>0</v>
      </c>
      <c r="U141" s="127">
        <f t="shared" si="189"/>
        <v>0</v>
      </c>
      <c r="V141" s="217">
        <v>0</v>
      </c>
      <c r="W141" s="191">
        <v>0</v>
      </c>
      <c r="X141" s="133">
        <v>0</v>
      </c>
      <c r="Y141" s="131">
        <f t="shared" si="190"/>
        <v>2438.5</v>
      </c>
      <c r="Z141" s="131">
        <f t="shared" si="191"/>
        <v>1076.5966513789815</v>
      </c>
      <c r="AA141" s="242">
        <f t="shared" si="192"/>
        <v>3515.0966513789817</v>
      </c>
      <c r="AB141" s="131">
        <f t="shared" si="193"/>
        <v>0</v>
      </c>
      <c r="AC141" s="131">
        <f t="shared" si="194"/>
        <v>140.60386605515927</v>
      </c>
      <c r="AD141" s="131">
        <f t="shared" si="195"/>
        <v>0</v>
      </c>
      <c r="AE141" s="131">
        <f t="shared" si="196"/>
        <v>0</v>
      </c>
      <c r="AF141" s="131">
        <f t="shared" si="197"/>
        <v>0</v>
      </c>
      <c r="AG141" s="131">
        <f t="shared" si="198"/>
        <v>0</v>
      </c>
      <c r="AH141" s="131">
        <f t="shared" si="199"/>
        <v>0</v>
      </c>
      <c r="AI141" s="131">
        <f t="shared" si="200"/>
        <v>0</v>
      </c>
      <c r="AJ141" s="131">
        <f t="shared" si="201"/>
        <v>0</v>
      </c>
      <c r="AK141" s="131"/>
      <c r="AL141" s="131">
        <f t="shared" si="202"/>
        <v>0</v>
      </c>
      <c r="AM141" s="131"/>
      <c r="AN141" s="243">
        <f t="shared" si="203"/>
        <v>0</v>
      </c>
      <c r="AO141" s="131">
        <f t="shared" si="204"/>
        <v>0</v>
      </c>
      <c r="AP141" s="131">
        <f t="shared" si="205"/>
        <v>0</v>
      </c>
      <c r="AQ141" s="131"/>
      <c r="AR141" s="131">
        <f t="shared" si="206"/>
        <v>0</v>
      </c>
      <c r="AS141" s="131">
        <f t="shared" ref="AS141:AS204" si="252">IF(A141=0," ",AS140)</f>
        <v>0</v>
      </c>
      <c r="AT141" s="131">
        <f t="shared" si="207"/>
        <v>0</v>
      </c>
      <c r="AU141" s="131">
        <f t="shared" si="208"/>
        <v>0</v>
      </c>
      <c r="AV141" s="131"/>
      <c r="AW141" s="131">
        <f t="shared" si="209"/>
        <v>0</v>
      </c>
      <c r="AX141" s="131">
        <f t="shared" si="183"/>
        <v>0</v>
      </c>
      <c r="AY141" s="131">
        <f t="shared" si="210"/>
        <v>0</v>
      </c>
      <c r="AZ141" s="131"/>
      <c r="BA141" s="131">
        <f t="shared" si="184"/>
        <v>0</v>
      </c>
      <c r="BB141" s="131"/>
      <c r="BC141" s="131"/>
      <c r="BD141" s="131">
        <f t="shared" si="211"/>
        <v>0</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f t="shared" ref="BP141:BP204" si="257">IF(A141=0," ",BP140)</f>
        <v>0</v>
      </c>
      <c r="BQ141" s="131"/>
      <c r="BR141" s="131"/>
      <c r="BS141" s="131"/>
      <c r="BT141" s="131"/>
      <c r="BU141" s="131"/>
      <c r="BV141" s="131">
        <f t="shared" ref="BV141:BV204" si="258">IF(A140=0," ",BV140)</f>
        <v>0</v>
      </c>
      <c r="BW141" s="131"/>
      <c r="BX141" s="131"/>
      <c r="BY141" s="131"/>
      <c r="BZ141" s="131">
        <f t="shared" ref="BZ141:BZ204" si="259">IF(A141=0," ",BZ140)</f>
        <v>0</v>
      </c>
      <c r="CA141" s="131"/>
      <c r="CB141" s="136">
        <f t="shared" si="212"/>
        <v>160.55836672570746</v>
      </c>
      <c r="CC141" s="131">
        <f t="shared" si="213"/>
        <v>0</v>
      </c>
      <c r="CD141" s="136">
        <f t="shared" si="214"/>
        <v>0</v>
      </c>
      <c r="CE141" s="131">
        <f t="shared" si="182"/>
        <v>0</v>
      </c>
      <c r="CF141" s="136">
        <f t="shared" si="215"/>
        <v>0</v>
      </c>
      <c r="CG141" s="136"/>
      <c r="CH141" s="136">
        <f t="shared" si="181"/>
        <v>0</v>
      </c>
      <c r="CI141" s="131">
        <f t="shared" si="216"/>
        <v>0</v>
      </c>
      <c r="CJ141" s="131"/>
      <c r="CK141" s="136">
        <f t="shared" si="217"/>
        <v>0</v>
      </c>
      <c r="CL141" s="136">
        <f t="shared" si="218"/>
        <v>804.25411383551102</v>
      </c>
      <c r="CM141" s="131">
        <f t="shared" si="219"/>
        <v>0</v>
      </c>
      <c r="CN141" s="136">
        <f t="shared" si="220"/>
        <v>0</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f t="shared" si="226"/>
        <v>0</v>
      </c>
      <c r="DC141" s="131">
        <f t="shared" si="185"/>
        <v>0</v>
      </c>
      <c r="DD141" s="131">
        <f t="shared" si="227"/>
        <v>0</v>
      </c>
      <c r="DE141" s="131">
        <f t="shared" si="228"/>
        <v>0</v>
      </c>
      <c r="DF141" s="131">
        <f t="shared" si="229"/>
        <v>0</v>
      </c>
      <c r="DG141" s="131">
        <f t="shared" si="230"/>
        <v>0</v>
      </c>
      <c r="DH141" s="131"/>
      <c r="DI141" s="131"/>
      <c r="DJ141" s="131"/>
      <c r="DK141" s="137">
        <f t="shared" ref="DK141:DK204" si="260">IF(A141=0," ",SUM(AA141:DG141))</f>
        <v>4620.5129979953599</v>
      </c>
      <c r="DL141" s="227" t="e">
        <f t="shared" si="231"/>
        <v>#REF!</v>
      </c>
      <c r="DM141" s="227" t="e">
        <f t="shared" si="232"/>
        <v>#REF!</v>
      </c>
      <c r="DN141" s="228" t="e">
        <f t="shared" si="186"/>
        <v>#REF!</v>
      </c>
      <c r="DO141" s="228">
        <f t="shared" si="233"/>
        <v>194.35242757490622</v>
      </c>
      <c r="DP141" s="228" t="e">
        <f t="shared" si="234"/>
        <v>#REF!</v>
      </c>
      <c r="DQ141" s="228" t="e">
        <f t="shared" si="235"/>
        <v>#REF!</v>
      </c>
    </row>
    <row r="142" spans="1:121">
      <c r="A142" s="132">
        <f t="shared" si="187"/>
        <v>132</v>
      </c>
      <c r="B142" s="18">
        <f t="shared" si="236"/>
        <v>132</v>
      </c>
      <c r="C142" s="18">
        <f>IF(A142=0," ",VLOOKUP(B142,'tosafot '!$A$7:$B$234,2,0))</f>
        <v>12.2018</v>
      </c>
      <c r="D142" s="220">
        <f t="shared" si="237"/>
        <v>228</v>
      </c>
      <c r="E142" s="130">
        <f t="shared" si="238"/>
        <v>12.2026</v>
      </c>
      <c r="F142" s="126">
        <f t="shared" si="239"/>
        <v>22</v>
      </c>
      <c r="G142" s="18" t="str">
        <f t="shared" si="240"/>
        <v>התחבורה</v>
      </c>
      <c r="H142" s="189">
        <f t="shared" si="241"/>
        <v>122</v>
      </c>
      <c r="I142" s="18">
        <f t="shared" si="242"/>
        <v>1</v>
      </c>
      <c r="J142" s="18" t="str">
        <f t="shared" si="243"/>
        <v>מינהלי - עובדי מדינה</v>
      </c>
      <c r="K142" s="189">
        <f t="shared" si="244"/>
        <v>1</v>
      </c>
      <c r="L142" s="18">
        <f t="shared" si="245"/>
        <v>12</v>
      </c>
      <c r="M142" s="129" t="str">
        <f t="shared" si="246"/>
        <v>17+</v>
      </c>
      <c r="N142" s="189"/>
      <c r="O142" s="132">
        <f t="shared" si="247"/>
        <v>1012</v>
      </c>
      <c r="P142" s="127">
        <f t="shared" si="248"/>
        <v>37</v>
      </c>
      <c r="Q142" s="127">
        <f t="shared" si="249"/>
        <v>36.75</v>
      </c>
      <c r="R142" s="128">
        <f t="shared" si="250"/>
        <v>148</v>
      </c>
      <c r="S142" s="130">
        <f t="shared" si="251"/>
        <v>1.4414995494685181</v>
      </c>
      <c r="T142" s="135">
        <f t="shared" si="188"/>
        <v>0</v>
      </c>
      <c r="U142" s="127">
        <f t="shared" si="189"/>
        <v>0</v>
      </c>
      <c r="V142" s="217">
        <v>0</v>
      </c>
      <c r="W142" s="191">
        <v>0</v>
      </c>
      <c r="X142" s="133">
        <v>0</v>
      </c>
      <c r="Y142" s="131">
        <f t="shared" si="190"/>
        <v>2438.5</v>
      </c>
      <c r="Z142" s="131">
        <f t="shared" si="191"/>
        <v>1076.5966513789815</v>
      </c>
      <c r="AA142" s="242">
        <f t="shared" si="192"/>
        <v>3515.0966513789817</v>
      </c>
      <c r="AB142" s="131">
        <f t="shared" si="193"/>
        <v>0</v>
      </c>
      <c r="AC142" s="131">
        <f t="shared" si="194"/>
        <v>140.60386605515927</v>
      </c>
      <c r="AD142" s="131">
        <f t="shared" si="195"/>
        <v>0</v>
      </c>
      <c r="AE142" s="131">
        <f t="shared" si="196"/>
        <v>0</v>
      </c>
      <c r="AF142" s="131">
        <f t="shared" si="197"/>
        <v>0</v>
      </c>
      <c r="AG142" s="131">
        <f t="shared" si="198"/>
        <v>0</v>
      </c>
      <c r="AH142" s="131">
        <f t="shared" si="199"/>
        <v>0</v>
      </c>
      <c r="AI142" s="131">
        <f t="shared" si="200"/>
        <v>0</v>
      </c>
      <c r="AJ142" s="131">
        <f t="shared" si="201"/>
        <v>0</v>
      </c>
      <c r="AK142" s="131"/>
      <c r="AL142" s="131">
        <f t="shared" si="202"/>
        <v>0</v>
      </c>
      <c r="AM142" s="131"/>
      <c r="AN142" s="243">
        <f t="shared" si="203"/>
        <v>0</v>
      </c>
      <c r="AO142" s="131">
        <f t="shared" si="204"/>
        <v>0</v>
      </c>
      <c r="AP142" s="131">
        <f t="shared" si="205"/>
        <v>0</v>
      </c>
      <c r="AQ142" s="131"/>
      <c r="AR142" s="131">
        <f t="shared" si="206"/>
        <v>0</v>
      </c>
      <c r="AS142" s="131">
        <f t="shared" si="252"/>
        <v>0</v>
      </c>
      <c r="AT142" s="131">
        <f t="shared" si="207"/>
        <v>0</v>
      </c>
      <c r="AU142" s="131">
        <f t="shared" si="208"/>
        <v>0</v>
      </c>
      <c r="AV142" s="131"/>
      <c r="AW142" s="131">
        <f t="shared" si="209"/>
        <v>0</v>
      </c>
      <c r="AX142" s="131">
        <f t="shared" si="183"/>
        <v>0</v>
      </c>
      <c r="AY142" s="131">
        <f t="shared" si="210"/>
        <v>0</v>
      </c>
      <c r="AZ142" s="131"/>
      <c r="BA142" s="131">
        <f t="shared" si="184"/>
        <v>0</v>
      </c>
      <c r="BB142" s="131"/>
      <c r="BC142" s="131"/>
      <c r="BD142" s="131">
        <f t="shared" si="211"/>
        <v>0</v>
      </c>
      <c r="BE142" s="131"/>
      <c r="BF142" s="131">
        <f t="shared" si="253"/>
        <v>0</v>
      </c>
      <c r="BG142" s="131">
        <f t="shared" si="254"/>
        <v>0</v>
      </c>
      <c r="BH142" s="131"/>
      <c r="BI142" s="131"/>
      <c r="BJ142" s="131"/>
      <c r="BK142" s="131">
        <f t="shared" si="255"/>
        <v>0</v>
      </c>
      <c r="BL142" s="131"/>
      <c r="BM142" s="131"/>
      <c r="BN142" s="131">
        <f t="shared" si="256"/>
        <v>0</v>
      </c>
      <c r="BO142" s="131"/>
      <c r="BP142" s="131">
        <f t="shared" si="257"/>
        <v>0</v>
      </c>
      <c r="BQ142" s="131"/>
      <c r="BR142" s="131"/>
      <c r="BS142" s="131"/>
      <c r="BT142" s="131"/>
      <c r="BU142" s="131"/>
      <c r="BV142" s="131">
        <f t="shared" si="258"/>
        <v>0</v>
      </c>
      <c r="BW142" s="131"/>
      <c r="BX142" s="131"/>
      <c r="BY142" s="131"/>
      <c r="BZ142" s="131">
        <f t="shared" si="259"/>
        <v>0</v>
      </c>
      <c r="CA142" s="131"/>
      <c r="CB142" s="136">
        <f t="shared" si="212"/>
        <v>160.55836672570746</v>
      </c>
      <c r="CC142" s="131">
        <f t="shared" si="213"/>
        <v>0</v>
      </c>
      <c r="CD142" s="136">
        <f t="shared" si="214"/>
        <v>0</v>
      </c>
      <c r="CE142" s="131">
        <f t="shared" si="182"/>
        <v>0</v>
      </c>
      <c r="CF142" s="136">
        <f t="shared" si="215"/>
        <v>0</v>
      </c>
      <c r="CG142" s="136"/>
      <c r="CH142" s="136">
        <f t="shared" ref="CH142:CH205" si="261">IF(A142=0," ",+CH141)</f>
        <v>0</v>
      </c>
      <c r="CI142" s="131">
        <f t="shared" si="216"/>
        <v>0</v>
      </c>
      <c r="CJ142" s="131"/>
      <c r="CK142" s="136">
        <f t="shared" si="217"/>
        <v>0</v>
      </c>
      <c r="CL142" s="136">
        <f t="shared" si="218"/>
        <v>804.25411383551102</v>
      </c>
      <c r="CM142" s="131">
        <f t="shared" si="219"/>
        <v>0</v>
      </c>
      <c r="CN142" s="136">
        <f t="shared" si="220"/>
        <v>0</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f t="shared" si="226"/>
        <v>0</v>
      </c>
      <c r="DC142" s="131">
        <f t="shared" si="185"/>
        <v>0</v>
      </c>
      <c r="DD142" s="131">
        <f t="shared" si="227"/>
        <v>0</v>
      </c>
      <c r="DE142" s="131">
        <f t="shared" si="228"/>
        <v>0</v>
      </c>
      <c r="DF142" s="131">
        <f t="shared" si="229"/>
        <v>0</v>
      </c>
      <c r="DG142" s="131">
        <f t="shared" si="230"/>
        <v>0</v>
      </c>
      <c r="DH142" s="131"/>
      <c r="DI142" s="131"/>
      <c r="DJ142" s="131"/>
      <c r="DK142" s="137">
        <f t="shared" si="260"/>
        <v>4620.5129979953599</v>
      </c>
      <c r="DL142" s="227" t="e">
        <f t="shared" si="231"/>
        <v>#REF!</v>
      </c>
      <c r="DM142" s="227" t="e">
        <f t="shared" si="232"/>
        <v>#REF!</v>
      </c>
      <c r="DN142" s="228" t="e">
        <f t="shared" si="186"/>
        <v>#REF!</v>
      </c>
      <c r="DO142" s="228">
        <f t="shared" si="233"/>
        <v>194.35242757490622</v>
      </c>
      <c r="DP142" s="228" t="e">
        <f t="shared" si="234"/>
        <v>#REF!</v>
      </c>
      <c r="DQ142" s="228" t="e">
        <f t="shared" si="235"/>
        <v>#REF!</v>
      </c>
    </row>
    <row r="143" spans="1:121">
      <c r="A143" s="132">
        <f t="shared" si="187"/>
        <v>133</v>
      </c>
      <c r="B143" s="18">
        <f t="shared" si="236"/>
        <v>133</v>
      </c>
      <c r="C143" s="18">
        <f>IF(A143=0," ",VLOOKUP(B143,'tosafot '!$A$7:$B$234,2,0))</f>
        <v>1.2019</v>
      </c>
      <c r="D143" s="220">
        <f t="shared" si="237"/>
        <v>228</v>
      </c>
      <c r="E143" s="130">
        <f t="shared" si="238"/>
        <v>12.2026</v>
      </c>
      <c r="F143" s="126">
        <f t="shared" si="239"/>
        <v>22</v>
      </c>
      <c r="G143" s="18" t="str">
        <f t="shared" si="240"/>
        <v>התחבורה</v>
      </c>
      <c r="H143" s="189">
        <f t="shared" si="241"/>
        <v>122</v>
      </c>
      <c r="I143" s="18">
        <f t="shared" si="242"/>
        <v>1</v>
      </c>
      <c r="J143" s="18" t="str">
        <f t="shared" si="243"/>
        <v>מינהלי - עובדי מדינה</v>
      </c>
      <c r="K143" s="189">
        <f t="shared" si="244"/>
        <v>1</v>
      </c>
      <c r="L143" s="18">
        <f t="shared" si="245"/>
        <v>12</v>
      </c>
      <c r="M143" s="129" t="str">
        <f t="shared" si="246"/>
        <v>17+</v>
      </c>
      <c r="N143" s="189"/>
      <c r="O143" s="132">
        <f t="shared" si="247"/>
        <v>1012</v>
      </c>
      <c r="P143" s="127">
        <f t="shared" si="248"/>
        <v>37</v>
      </c>
      <c r="Q143" s="127">
        <f t="shared" si="249"/>
        <v>36.75</v>
      </c>
      <c r="R143" s="128">
        <f t="shared" si="250"/>
        <v>148</v>
      </c>
      <c r="S143" s="130">
        <f t="shared" si="251"/>
        <v>1.4414995494685181</v>
      </c>
      <c r="T143" s="135">
        <f t="shared" si="188"/>
        <v>0</v>
      </c>
      <c r="U143" s="127">
        <f t="shared" si="189"/>
        <v>0</v>
      </c>
      <c r="V143" s="217">
        <v>0</v>
      </c>
      <c r="W143" s="191">
        <v>0</v>
      </c>
      <c r="X143" s="133">
        <v>0</v>
      </c>
      <c r="Y143" s="131">
        <f t="shared" si="190"/>
        <v>2438.5</v>
      </c>
      <c r="Z143" s="131">
        <f t="shared" si="191"/>
        <v>1076.5966513789815</v>
      </c>
      <c r="AA143" s="242">
        <f t="shared" si="192"/>
        <v>3515.0966513789817</v>
      </c>
      <c r="AB143" s="131">
        <f t="shared" si="193"/>
        <v>0</v>
      </c>
      <c r="AC143" s="131">
        <f t="shared" si="194"/>
        <v>140.60386605515927</v>
      </c>
      <c r="AD143" s="131">
        <f t="shared" si="195"/>
        <v>0</v>
      </c>
      <c r="AE143" s="131">
        <f t="shared" si="196"/>
        <v>0</v>
      </c>
      <c r="AF143" s="131">
        <f t="shared" si="197"/>
        <v>0</v>
      </c>
      <c r="AG143" s="131">
        <f t="shared" si="198"/>
        <v>0</v>
      </c>
      <c r="AH143" s="131">
        <f t="shared" si="199"/>
        <v>0</v>
      </c>
      <c r="AI143" s="131">
        <f t="shared" si="200"/>
        <v>0</v>
      </c>
      <c r="AJ143" s="131">
        <f t="shared" si="201"/>
        <v>0</v>
      </c>
      <c r="AK143" s="131"/>
      <c r="AL143" s="131">
        <f t="shared" si="202"/>
        <v>0</v>
      </c>
      <c r="AM143" s="131"/>
      <c r="AN143" s="243">
        <f t="shared" si="203"/>
        <v>0</v>
      </c>
      <c r="AO143" s="131">
        <f t="shared" si="204"/>
        <v>0</v>
      </c>
      <c r="AP143" s="131">
        <f t="shared" si="205"/>
        <v>0</v>
      </c>
      <c r="AQ143" s="131"/>
      <c r="AR143" s="131">
        <f t="shared" si="206"/>
        <v>0</v>
      </c>
      <c r="AS143" s="131">
        <f t="shared" si="252"/>
        <v>0</v>
      </c>
      <c r="AT143" s="131">
        <f t="shared" si="207"/>
        <v>0</v>
      </c>
      <c r="AU143" s="131">
        <f t="shared" si="208"/>
        <v>0</v>
      </c>
      <c r="AV143" s="131"/>
      <c r="AW143" s="131">
        <f t="shared" si="209"/>
        <v>0</v>
      </c>
      <c r="AX143" s="131">
        <f t="shared" si="183"/>
        <v>0</v>
      </c>
      <c r="AY143" s="131">
        <f t="shared" si="210"/>
        <v>0</v>
      </c>
      <c r="AZ143" s="131"/>
      <c r="BA143" s="131">
        <f t="shared" si="184"/>
        <v>0</v>
      </c>
      <c r="BB143" s="131"/>
      <c r="BC143" s="131"/>
      <c r="BD143" s="131">
        <f t="shared" si="211"/>
        <v>0</v>
      </c>
      <c r="BE143" s="131"/>
      <c r="BF143" s="131">
        <f t="shared" si="253"/>
        <v>0</v>
      </c>
      <c r="BG143" s="131">
        <f t="shared" si="254"/>
        <v>0</v>
      </c>
      <c r="BH143" s="131"/>
      <c r="BI143" s="131"/>
      <c r="BJ143" s="131"/>
      <c r="BK143" s="131">
        <f t="shared" si="255"/>
        <v>0</v>
      </c>
      <c r="BL143" s="131"/>
      <c r="BM143" s="131"/>
      <c r="BN143" s="131">
        <f t="shared" si="256"/>
        <v>0</v>
      </c>
      <c r="BO143" s="131"/>
      <c r="BP143" s="131">
        <f t="shared" si="257"/>
        <v>0</v>
      </c>
      <c r="BQ143" s="131"/>
      <c r="BR143" s="131"/>
      <c r="BS143" s="131"/>
      <c r="BT143" s="131"/>
      <c r="BU143" s="131"/>
      <c r="BV143" s="131">
        <f t="shared" si="258"/>
        <v>0</v>
      </c>
      <c r="BW143" s="131"/>
      <c r="BX143" s="131"/>
      <c r="BY143" s="131"/>
      <c r="BZ143" s="131">
        <f t="shared" si="259"/>
        <v>0</v>
      </c>
      <c r="CA143" s="131"/>
      <c r="CB143" s="136">
        <f t="shared" si="212"/>
        <v>160.55836672570746</v>
      </c>
      <c r="CC143" s="131">
        <f t="shared" si="213"/>
        <v>0</v>
      </c>
      <c r="CD143" s="136">
        <f t="shared" si="214"/>
        <v>0</v>
      </c>
      <c r="CE143" s="131">
        <f t="shared" si="182"/>
        <v>0</v>
      </c>
      <c r="CF143" s="136">
        <f t="shared" si="215"/>
        <v>0</v>
      </c>
      <c r="CG143" s="136"/>
      <c r="CH143" s="136">
        <f t="shared" si="261"/>
        <v>0</v>
      </c>
      <c r="CI143" s="131">
        <f t="shared" si="216"/>
        <v>0</v>
      </c>
      <c r="CJ143" s="131"/>
      <c r="CK143" s="136">
        <f t="shared" si="217"/>
        <v>0</v>
      </c>
      <c r="CL143" s="136">
        <f t="shared" si="218"/>
        <v>804.25411383551102</v>
      </c>
      <c r="CM143" s="131">
        <f t="shared" si="219"/>
        <v>0</v>
      </c>
      <c r="CN143" s="136">
        <f t="shared" si="220"/>
        <v>0</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f t="shared" si="226"/>
        <v>0</v>
      </c>
      <c r="DC143" s="131">
        <f t="shared" si="185"/>
        <v>0</v>
      </c>
      <c r="DD143" s="131">
        <f t="shared" si="227"/>
        <v>0</v>
      </c>
      <c r="DE143" s="131">
        <f t="shared" si="228"/>
        <v>0</v>
      </c>
      <c r="DF143" s="131">
        <f t="shared" si="229"/>
        <v>0</v>
      </c>
      <c r="DG143" s="131">
        <f t="shared" si="230"/>
        <v>0</v>
      </c>
      <c r="DH143" s="131"/>
      <c r="DI143" s="131"/>
      <c r="DJ143" s="131"/>
      <c r="DK143" s="137">
        <f t="shared" si="260"/>
        <v>4620.5129979953599</v>
      </c>
      <c r="DL143" s="227" t="e">
        <f t="shared" si="231"/>
        <v>#REF!</v>
      </c>
      <c r="DM143" s="227" t="e">
        <f t="shared" si="232"/>
        <v>#REF!</v>
      </c>
      <c r="DN143" s="228" t="e">
        <f t="shared" si="186"/>
        <v>#REF!</v>
      </c>
      <c r="DO143" s="228">
        <f t="shared" si="233"/>
        <v>194.35242757490622</v>
      </c>
      <c r="DP143" s="228" t="e">
        <f t="shared" si="234"/>
        <v>#REF!</v>
      </c>
      <c r="DQ143" s="228" t="e">
        <f t="shared" si="235"/>
        <v>#REF!</v>
      </c>
    </row>
    <row r="144" spans="1:121">
      <c r="A144" s="132">
        <f t="shared" si="187"/>
        <v>134</v>
      </c>
      <c r="B144" s="18">
        <f t="shared" si="236"/>
        <v>134</v>
      </c>
      <c r="C144" s="18">
        <f>IF(A144=0," ",VLOOKUP(B144,'tosafot '!$A$7:$B$234,2,0))</f>
        <v>2.2019000000000002</v>
      </c>
      <c r="D144" s="220">
        <f t="shared" si="237"/>
        <v>228</v>
      </c>
      <c r="E144" s="130">
        <f t="shared" si="238"/>
        <v>12.2026</v>
      </c>
      <c r="F144" s="126">
        <f t="shared" si="239"/>
        <v>22</v>
      </c>
      <c r="G144" s="18" t="str">
        <f t="shared" si="240"/>
        <v>התחבורה</v>
      </c>
      <c r="H144" s="189">
        <f t="shared" si="241"/>
        <v>122</v>
      </c>
      <c r="I144" s="18">
        <f t="shared" si="242"/>
        <v>1</v>
      </c>
      <c r="J144" s="18" t="str">
        <f t="shared" si="243"/>
        <v>מינהלי - עובדי מדינה</v>
      </c>
      <c r="K144" s="189">
        <f t="shared" si="244"/>
        <v>1</v>
      </c>
      <c r="L144" s="18">
        <f t="shared" si="245"/>
        <v>12</v>
      </c>
      <c r="M144" s="129" t="str">
        <f t="shared" si="246"/>
        <v>17+</v>
      </c>
      <c r="N144" s="189"/>
      <c r="O144" s="132">
        <f t="shared" si="247"/>
        <v>1012</v>
      </c>
      <c r="P144" s="127">
        <f t="shared" si="248"/>
        <v>37</v>
      </c>
      <c r="Q144" s="127">
        <f t="shared" si="249"/>
        <v>36.75</v>
      </c>
      <c r="R144" s="128">
        <f t="shared" si="250"/>
        <v>148</v>
      </c>
      <c r="S144" s="130">
        <f t="shared" si="251"/>
        <v>1.4414995494685181</v>
      </c>
      <c r="T144" s="135">
        <f t="shared" si="188"/>
        <v>0</v>
      </c>
      <c r="U144" s="127">
        <f t="shared" si="189"/>
        <v>0</v>
      </c>
      <c r="V144" s="217">
        <v>0</v>
      </c>
      <c r="W144" s="191">
        <v>0</v>
      </c>
      <c r="X144" s="133">
        <v>0</v>
      </c>
      <c r="Y144" s="131">
        <f t="shared" si="190"/>
        <v>2438.5</v>
      </c>
      <c r="Z144" s="131">
        <f t="shared" si="191"/>
        <v>1076.5966513789815</v>
      </c>
      <c r="AA144" s="242">
        <f t="shared" si="192"/>
        <v>3515.0966513789817</v>
      </c>
      <c r="AB144" s="131">
        <f t="shared" si="193"/>
        <v>0</v>
      </c>
      <c r="AC144" s="131">
        <f t="shared" si="194"/>
        <v>140.60386605515927</v>
      </c>
      <c r="AD144" s="131">
        <f t="shared" si="195"/>
        <v>0</v>
      </c>
      <c r="AE144" s="131">
        <f t="shared" si="196"/>
        <v>0</v>
      </c>
      <c r="AF144" s="131">
        <f t="shared" si="197"/>
        <v>0</v>
      </c>
      <c r="AG144" s="131">
        <f t="shared" si="198"/>
        <v>0</v>
      </c>
      <c r="AH144" s="131">
        <f t="shared" si="199"/>
        <v>0</v>
      </c>
      <c r="AI144" s="131">
        <f t="shared" si="200"/>
        <v>0</v>
      </c>
      <c r="AJ144" s="131">
        <f t="shared" si="201"/>
        <v>0</v>
      </c>
      <c r="AK144" s="131"/>
      <c r="AL144" s="131">
        <f t="shared" si="202"/>
        <v>0</v>
      </c>
      <c r="AM144" s="131"/>
      <c r="AN144" s="243">
        <f t="shared" si="203"/>
        <v>0</v>
      </c>
      <c r="AO144" s="131">
        <f t="shared" si="204"/>
        <v>0</v>
      </c>
      <c r="AP144" s="131">
        <f t="shared" si="205"/>
        <v>0</v>
      </c>
      <c r="AQ144" s="131"/>
      <c r="AR144" s="131">
        <f t="shared" si="206"/>
        <v>0</v>
      </c>
      <c r="AS144" s="131">
        <f t="shared" si="252"/>
        <v>0</v>
      </c>
      <c r="AT144" s="131">
        <f t="shared" si="207"/>
        <v>0</v>
      </c>
      <c r="AU144" s="131">
        <f t="shared" si="208"/>
        <v>0</v>
      </c>
      <c r="AV144" s="131"/>
      <c r="AW144" s="131">
        <f t="shared" si="209"/>
        <v>0</v>
      </c>
      <c r="AX144" s="131">
        <f t="shared" si="183"/>
        <v>0</v>
      </c>
      <c r="AY144" s="131">
        <f t="shared" si="210"/>
        <v>0</v>
      </c>
      <c r="AZ144" s="131"/>
      <c r="BA144" s="131">
        <f t="shared" si="184"/>
        <v>0</v>
      </c>
      <c r="BB144" s="131"/>
      <c r="BC144" s="131"/>
      <c r="BD144" s="131">
        <f t="shared" si="211"/>
        <v>0</v>
      </c>
      <c r="BE144" s="131"/>
      <c r="BF144" s="131">
        <f t="shared" si="253"/>
        <v>0</v>
      </c>
      <c r="BG144" s="131">
        <f t="shared" si="254"/>
        <v>0</v>
      </c>
      <c r="BH144" s="131"/>
      <c r="BI144" s="131"/>
      <c r="BJ144" s="131"/>
      <c r="BK144" s="131">
        <f t="shared" si="255"/>
        <v>0</v>
      </c>
      <c r="BL144" s="131"/>
      <c r="BM144" s="131"/>
      <c r="BN144" s="131">
        <f t="shared" si="256"/>
        <v>0</v>
      </c>
      <c r="BO144" s="131"/>
      <c r="BP144" s="131">
        <f t="shared" si="257"/>
        <v>0</v>
      </c>
      <c r="BQ144" s="131"/>
      <c r="BR144" s="131"/>
      <c r="BS144" s="131"/>
      <c r="BT144" s="131"/>
      <c r="BU144" s="131"/>
      <c r="BV144" s="131">
        <f t="shared" si="258"/>
        <v>0</v>
      </c>
      <c r="BW144" s="131"/>
      <c r="BX144" s="131"/>
      <c r="BY144" s="131"/>
      <c r="BZ144" s="131">
        <f t="shared" si="259"/>
        <v>0</v>
      </c>
      <c r="CA144" s="131"/>
      <c r="CB144" s="136">
        <f t="shared" si="212"/>
        <v>160.55836672570746</v>
      </c>
      <c r="CC144" s="131">
        <f t="shared" si="213"/>
        <v>0</v>
      </c>
      <c r="CD144" s="136">
        <f t="shared" si="214"/>
        <v>0</v>
      </c>
      <c r="CE144" s="131">
        <f t="shared" si="182"/>
        <v>0</v>
      </c>
      <c r="CF144" s="136">
        <f t="shared" si="215"/>
        <v>0</v>
      </c>
      <c r="CG144" s="136"/>
      <c r="CH144" s="136">
        <f t="shared" si="261"/>
        <v>0</v>
      </c>
      <c r="CI144" s="131">
        <f t="shared" si="216"/>
        <v>0</v>
      </c>
      <c r="CJ144" s="131"/>
      <c r="CK144" s="136">
        <f t="shared" si="217"/>
        <v>0</v>
      </c>
      <c r="CL144" s="136">
        <f t="shared" si="218"/>
        <v>804.25411383551102</v>
      </c>
      <c r="CM144" s="131">
        <f t="shared" si="219"/>
        <v>0</v>
      </c>
      <c r="CN144" s="136">
        <f t="shared" si="220"/>
        <v>0</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f t="shared" si="226"/>
        <v>0</v>
      </c>
      <c r="DC144" s="131">
        <f t="shared" si="185"/>
        <v>0</v>
      </c>
      <c r="DD144" s="131">
        <f t="shared" si="227"/>
        <v>0</v>
      </c>
      <c r="DE144" s="131">
        <f t="shared" si="228"/>
        <v>0</v>
      </c>
      <c r="DF144" s="131">
        <f t="shared" si="229"/>
        <v>0</v>
      </c>
      <c r="DG144" s="131">
        <f t="shared" si="230"/>
        <v>0</v>
      </c>
      <c r="DH144" s="131"/>
      <c r="DI144" s="131"/>
      <c r="DJ144" s="131"/>
      <c r="DK144" s="137">
        <f t="shared" si="260"/>
        <v>4620.5129979953599</v>
      </c>
      <c r="DL144" s="227" t="e">
        <f t="shared" si="231"/>
        <v>#REF!</v>
      </c>
      <c r="DM144" s="227" t="e">
        <f t="shared" si="232"/>
        <v>#REF!</v>
      </c>
      <c r="DN144" s="228" t="e">
        <f t="shared" si="186"/>
        <v>#REF!</v>
      </c>
      <c r="DO144" s="228">
        <f t="shared" si="233"/>
        <v>194.35242757490622</v>
      </c>
      <c r="DP144" s="228" t="e">
        <f t="shared" si="234"/>
        <v>#REF!</v>
      </c>
      <c r="DQ144" s="228" t="e">
        <f t="shared" si="235"/>
        <v>#REF!</v>
      </c>
    </row>
    <row r="145" spans="1:121">
      <c r="A145" s="132">
        <f t="shared" si="187"/>
        <v>135</v>
      </c>
      <c r="B145" s="18">
        <f t="shared" si="236"/>
        <v>135</v>
      </c>
      <c r="C145" s="18">
        <f>IF(A145=0," ",VLOOKUP(B145,'tosafot '!$A$7:$B$234,2,0))</f>
        <v>3.2019000000000002</v>
      </c>
      <c r="D145" s="220">
        <f t="shared" si="237"/>
        <v>228</v>
      </c>
      <c r="E145" s="130">
        <f t="shared" si="238"/>
        <v>12.2026</v>
      </c>
      <c r="F145" s="126">
        <f t="shared" si="239"/>
        <v>22</v>
      </c>
      <c r="G145" s="18" t="str">
        <f t="shared" si="240"/>
        <v>התחבורה</v>
      </c>
      <c r="H145" s="189">
        <f t="shared" si="241"/>
        <v>122</v>
      </c>
      <c r="I145" s="18">
        <f t="shared" si="242"/>
        <v>1</v>
      </c>
      <c r="J145" s="18" t="str">
        <f t="shared" si="243"/>
        <v>מינהלי - עובדי מדינה</v>
      </c>
      <c r="K145" s="189">
        <f t="shared" si="244"/>
        <v>1</v>
      </c>
      <c r="L145" s="18">
        <f t="shared" si="245"/>
        <v>12</v>
      </c>
      <c r="M145" s="129" t="str">
        <f t="shared" si="246"/>
        <v>17+</v>
      </c>
      <c r="N145" s="189"/>
      <c r="O145" s="132">
        <f t="shared" si="247"/>
        <v>1012</v>
      </c>
      <c r="P145" s="127">
        <f t="shared" si="248"/>
        <v>37</v>
      </c>
      <c r="Q145" s="127">
        <f t="shared" si="249"/>
        <v>36.75</v>
      </c>
      <c r="R145" s="128">
        <f t="shared" si="250"/>
        <v>148</v>
      </c>
      <c r="S145" s="130">
        <f t="shared" si="251"/>
        <v>1.4414995494685181</v>
      </c>
      <c r="T145" s="135">
        <f t="shared" si="188"/>
        <v>0</v>
      </c>
      <c r="U145" s="127">
        <f t="shared" si="189"/>
        <v>0</v>
      </c>
      <c r="V145" s="217">
        <v>0</v>
      </c>
      <c r="W145" s="191">
        <v>0</v>
      </c>
      <c r="X145" s="133">
        <v>0</v>
      </c>
      <c r="Y145" s="131">
        <f t="shared" si="190"/>
        <v>2438.5</v>
      </c>
      <c r="Z145" s="131">
        <f t="shared" si="191"/>
        <v>1076.5966513789815</v>
      </c>
      <c r="AA145" s="242">
        <f t="shared" si="192"/>
        <v>3515.0966513789817</v>
      </c>
      <c r="AB145" s="131">
        <f t="shared" si="193"/>
        <v>0</v>
      </c>
      <c r="AC145" s="131">
        <f t="shared" si="194"/>
        <v>140.60386605515927</v>
      </c>
      <c r="AD145" s="131">
        <f t="shared" si="195"/>
        <v>0</v>
      </c>
      <c r="AE145" s="131">
        <f t="shared" si="196"/>
        <v>0</v>
      </c>
      <c r="AF145" s="131">
        <f t="shared" si="197"/>
        <v>0</v>
      </c>
      <c r="AG145" s="131">
        <f t="shared" si="198"/>
        <v>0</v>
      </c>
      <c r="AH145" s="131">
        <f t="shared" si="199"/>
        <v>0</v>
      </c>
      <c r="AI145" s="131">
        <f t="shared" si="200"/>
        <v>0</v>
      </c>
      <c r="AJ145" s="131">
        <f t="shared" si="201"/>
        <v>0</v>
      </c>
      <c r="AK145" s="131"/>
      <c r="AL145" s="131">
        <f t="shared" si="202"/>
        <v>0</v>
      </c>
      <c r="AM145" s="131"/>
      <c r="AN145" s="243">
        <f t="shared" si="203"/>
        <v>0</v>
      </c>
      <c r="AO145" s="131">
        <f t="shared" si="204"/>
        <v>0</v>
      </c>
      <c r="AP145" s="131">
        <f t="shared" si="205"/>
        <v>0</v>
      </c>
      <c r="AQ145" s="131"/>
      <c r="AR145" s="131">
        <f t="shared" si="206"/>
        <v>0</v>
      </c>
      <c r="AS145" s="131">
        <f t="shared" si="252"/>
        <v>0</v>
      </c>
      <c r="AT145" s="131">
        <f t="shared" si="207"/>
        <v>0</v>
      </c>
      <c r="AU145" s="131">
        <f t="shared" si="208"/>
        <v>0</v>
      </c>
      <c r="AV145" s="131"/>
      <c r="AW145" s="131">
        <f t="shared" si="209"/>
        <v>0</v>
      </c>
      <c r="AX145" s="131">
        <f t="shared" si="183"/>
        <v>0</v>
      </c>
      <c r="AY145" s="131">
        <f t="shared" si="210"/>
        <v>0</v>
      </c>
      <c r="AZ145" s="131"/>
      <c r="BA145" s="131">
        <f t="shared" si="184"/>
        <v>0</v>
      </c>
      <c r="BB145" s="131"/>
      <c r="BC145" s="131"/>
      <c r="BD145" s="131">
        <f t="shared" si="211"/>
        <v>0</v>
      </c>
      <c r="BE145" s="131"/>
      <c r="BF145" s="131">
        <f t="shared" si="253"/>
        <v>0</v>
      </c>
      <c r="BG145" s="131">
        <f t="shared" si="254"/>
        <v>0</v>
      </c>
      <c r="BH145" s="131"/>
      <c r="BI145" s="131"/>
      <c r="BJ145" s="131"/>
      <c r="BK145" s="131">
        <f t="shared" si="255"/>
        <v>0</v>
      </c>
      <c r="BL145" s="131"/>
      <c r="BM145" s="131"/>
      <c r="BN145" s="131">
        <f t="shared" si="256"/>
        <v>0</v>
      </c>
      <c r="BO145" s="131"/>
      <c r="BP145" s="131">
        <f t="shared" si="257"/>
        <v>0</v>
      </c>
      <c r="BQ145" s="131"/>
      <c r="BR145" s="131"/>
      <c r="BS145" s="131"/>
      <c r="BT145" s="131"/>
      <c r="BU145" s="131"/>
      <c r="BV145" s="131">
        <f t="shared" si="258"/>
        <v>0</v>
      </c>
      <c r="BW145" s="131"/>
      <c r="BX145" s="131"/>
      <c r="BY145" s="131"/>
      <c r="BZ145" s="131">
        <f t="shared" si="259"/>
        <v>0</v>
      </c>
      <c r="CA145" s="131"/>
      <c r="CB145" s="136">
        <f t="shared" si="212"/>
        <v>160.55836672570746</v>
      </c>
      <c r="CC145" s="131">
        <f t="shared" si="213"/>
        <v>0</v>
      </c>
      <c r="CD145" s="136">
        <f t="shared" si="214"/>
        <v>0</v>
      </c>
      <c r="CE145" s="131">
        <f t="shared" ref="CE145:CE208" si="262">IF(A145=0," ",CE144)</f>
        <v>0</v>
      </c>
      <c r="CF145" s="136">
        <f t="shared" si="215"/>
        <v>0</v>
      </c>
      <c r="CG145" s="136"/>
      <c r="CH145" s="136">
        <f t="shared" si="261"/>
        <v>0</v>
      </c>
      <c r="CI145" s="131">
        <f t="shared" si="216"/>
        <v>0</v>
      </c>
      <c r="CJ145" s="131"/>
      <c r="CK145" s="136">
        <f t="shared" si="217"/>
        <v>0</v>
      </c>
      <c r="CL145" s="136">
        <f t="shared" si="218"/>
        <v>804.25411383551102</v>
      </c>
      <c r="CM145" s="131">
        <f t="shared" si="219"/>
        <v>0</v>
      </c>
      <c r="CN145" s="136">
        <f t="shared" si="220"/>
        <v>0</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f t="shared" si="226"/>
        <v>0</v>
      </c>
      <c r="DC145" s="131">
        <f t="shared" si="185"/>
        <v>0</v>
      </c>
      <c r="DD145" s="131">
        <f t="shared" si="227"/>
        <v>0</v>
      </c>
      <c r="DE145" s="131">
        <f t="shared" si="228"/>
        <v>0</v>
      </c>
      <c r="DF145" s="131">
        <f t="shared" si="229"/>
        <v>0</v>
      </c>
      <c r="DG145" s="131">
        <f t="shared" si="230"/>
        <v>0</v>
      </c>
      <c r="DH145" s="131"/>
      <c r="DI145" s="131"/>
      <c r="DJ145" s="131"/>
      <c r="DK145" s="137">
        <f t="shared" si="260"/>
        <v>4620.5129979953599</v>
      </c>
      <c r="DL145" s="227" t="e">
        <f t="shared" si="231"/>
        <v>#REF!</v>
      </c>
      <c r="DM145" s="227" t="e">
        <f t="shared" si="232"/>
        <v>#REF!</v>
      </c>
      <c r="DN145" s="228" t="e">
        <f t="shared" si="186"/>
        <v>#REF!</v>
      </c>
      <c r="DO145" s="228">
        <f t="shared" si="233"/>
        <v>194.35242757490622</v>
      </c>
      <c r="DP145" s="228" t="e">
        <f t="shared" si="234"/>
        <v>#REF!</v>
      </c>
      <c r="DQ145" s="228" t="e">
        <f t="shared" si="235"/>
        <v>#REF!</v>
      </c>
    </row>
    <row r="146" spans="1:121">
      <c r="A146" s="132">
        <f t="shared" si="187"/>
        <v>136</v>
      </c>
      <c r="B146" s="18">
        <f t="shared" si="236"/>
        <v>136</v>
      </c>
      <c r="C146" s="18">
        <f>IF(A146=0," ",VLOOKUP(B146,'tosafot '!$A$7:$B$234,2,0))</f>
        <v>4.2019000000000002</v>
      </c>
      <c r="D146" s="220">
        <f t="shared" si="237"/>
        <v>228</v>
      </c>
      <c r="E146" s="130">
        <f t="shared" si="238"/>
        <v>12.2026</v>
      </c>
      <c r="F146" s="126">
        <f t="shared" si="239"/>
        <v>22</v>
      </c>
      <c r="G146" s="18" t="str">
        <f t="shared" si="240"/>
        <v>התחבורה</v>
      </c>
      <c r="H146" s="189">
        <f t="shared" si="241"/>
        <v>122</v>
      </c>
      <c r="I146" s="18">
        <f t="shared" si="242"/>
        <v>1</v>
      </c>
      <c r="J146" s="18" t="str">
        <f t="shared" si="243"/>
        <v>מינהלי - עובדי מדינה</v>
      </c>
      <c r="K146" s="189">
        <f t="shared" si="244"/>
        <v>1</v>
      </c>
      <c r="L146" s="18">
        <f t="shared" si="245"/>
        <v>12</v>
      </c>
      <c r="M146" s="129" t="str">
        <f t="shared" si="246"/>
        <v>17+</v>
      </c>
      <c r="N146" s="189"/>
      <c r="O146" s="132">
        <f t="shared" si="247"/>
        <v>1012</v>
      </c>
      <c r="P146" s="127">
        <f t="shared" si="248"/>
        <v>37</v>
      </c>
      <c r="Q146" s="127">
        <f t="shared" si="249"/>
        <v>36.75</v>
      </c>
      <c r="R146" s="128">
        <f t="shared" si="250"/>
        <v>148</v>
      </c>
      <c r="S146" s="130">
        <f t="shared" si="251"/>
        <v>1.4414995494685181</v>
      </c>
      <c r="T146" s="135">
        <f t="shared" si="188"/>
        <v>0</v>
      </c>
      <c r="U146" s="127">
        <f t="shared" si="189"/>
        <v>0</v>
      </c>
      <c r="V146" s="217">
        <v>0</v>
      </c>
      <c r="W146" s="191">
        <v>0</v>
      </c>
      <c r="X146" s="133">
        <v>0</v>
      </c>
      <c r="Y146" s="131">
        <f t="shared" si="190"/>
        <v>2438.5</v>
      </c>
      <c r="Z146" s="131">
        <f t="shared" si="191"/>
        <v>1076.5966513789815</v>
      </c>
      <c r="AA146" s="242">
        <f t="shared" si="192"/>
        <v>3515.0966513789817</v>
      </c>
      <c r="AB146" s="131">
        <f t="shared" si="193"/>
        <v>0</v>
      </c>
      <c r="AC146" s="131">
        <f t="shared" si="194"/>
        <v>140.60386605515927</v>
      </c>
      <c r="AD146" s="131">
        <f t="shared" si="195"/>
        <v>0</v>
      </c>
      <c r="AE146" s="131">
        <f t="shared" si="196"/>
        <v>0</v>
      </c>
      <c r="AF146" s="131">
        <f t="shared" si="197"/>
        <v>0</v>
      </c>
      <c r="AG146" s="131">
        <f t="shared" si="198"/>
        <v>0</v>
      </c>
      <c r="AH146" s="131">
        <f t="shared" si="199"/>
        <v>0</v>
      </c>
      <c r="AI146" s="131">
        <f t="shared" si="200"/>
        <v>0</v>
      </c>
      <c r="AJ146" s="131">
        <f t="shared" si="201"/>
        <v>0</v>
      </c>
      <c r="AK146" s="131"/>
      <c r="AL146" s="131">
        <f t="shared" si="202"/>
        <v>0</v>
      </c>
      <c r="AM146" s="131"/>
      <c r="AN146" s="243">
        <f t="shared" si="203"/>
        <v>0</v>
      </c>
      <c r="AO146" s="131">
        <f t="shared" si="204"/>
        <v>0</v>
      </c>
      <c r="AP146" s="131">
        <f t="shared" si="205"/>
        <v>0</v>
      </c>
      <c r="AQ146" s="131"/>
      <c r="AR146" s="131">
        <f t="shared" si="206"/>
        <v>0</v>
      </c>
      <c r="AS146" s="131">
        <f t="shared" si="252"/>
        <v>0</v>
      </c>
      <c r="AT146" s="131">
        <f t="shared" si="207"/>
        <v>0</v>
      </c>
      <c r="AU146" s="131">
        <f t="shared" si="208"/>
        <v>0</v>
      </c>
      <c r="AV146" s="131"/>
      <c r="AW146" s="131">
        <f t="shared" si="209"/>
        <v>0</v>
      </c>
      <c r="AX146" s="131">
        <f t="shared" ref="AX146:AX209" si="263">IF(A145=0," ",AX145)</f>
        <v>0</v>
      </c>
      <c r="AY146" s="131">
        <f t="shared" si="210"/>
        <v>0</v>
      </c>
      <c r="AZ146" s="131"/>
      <c r="BA146" s="131">
        <f t="shared" ref="BA146:BA209" si="264">IF(A145=0," ",BA145)</f>
        <v>0</v>
      </c>
      <c r="BB146" s="131"/>
      <c r="BC146" s="131"/>
      <c r="BD146" s="131">
        <f t="shared" si="211"/>
        <v>0</v>
      </c>
      <c r="BE146" s="131"/>
      <c r="BF146" s="131">
        <f t="shared" si="253"/>
        <v>0</v>
      </c>
      <c r="BG146" s="131">
        <f t="shared" si="254"/>
        <v>0</v>
      </c>
      <c r="BH146" s="131"/>
      <c r="BI146" s="131"/>
      <c r="BJ146" s="131"/>
      <c r="BK146" s="131">
        <f t="shared" si="255"/>
        <v>0</v>
      </c>
      <c r="BL146" s="131"/>
      <c r="BM146" s="131"/>
      <c r="BN146" s="131">
        <f t="shared" si="256"/>
        <v>0</v>
      </c>
      <c r="BO146" s="131"/>
      <c r="BP146" s="131">
        <f t="shared" si="257"/>
        <v>0</v>
      </c>
      <c r="BQ146" s="131"/>
      <c r="BR146" s="131"/>
      <c r="BS146" s="131"/>
      <c r="BT146" s="131"/>
      <c r="BU146" s="131"/>
      <c r="BV146" s="131">
        <f t="shared" si="258"/>
        <v>0</v>
      </c>
      <c r="BW146" s="131"/>
      <c r="BX146" s="131"/>
      <c r="BY146" s="131"/>
      <c r="BZ146" s="131">
        <f t="shared" si="259"/>
        <v>0</v>
      </c>
      <c r="CA146" s="131"/>
      <c r="CB146" s="136">
        <f t="shared" si="212"/>
        <v>160.55836672570746</v>
      </c>
      <c r="CC146" s="131">
        <f t="shared" si="213"/>
        <v>0</v>
      </c>
      <c r="CD146" s="136">
        <f t="shared" si="214"/>
        <v>0</v>
      </c>
      <c r="CE146" s="131">
        <f t="shared" si="262"/>
        <v>0</v>
      </c>
      <c r="CF146" s="136">
        <f t="shared" si="215"/>
        <v>0</v>
      </c>
      <c r="CG146" s="136"/>
      <c r="CH146" s="136">
        <f t="shared" si="261"/>
        <v>0</v>
      </c>
      <c r="CI146" s="131">
        <f t="shared" si="216"/>
        <v>0</v>
      </c>
      <c r="CJ146" s="131"/>
      <c r="CK146" s="136">
        <f t="shared" si="217"/>
        <v>0</v>
      </c>
      <c r="CL146" s="136">
        <f t="shared" si="218"/>
        <v>804.25411383551102</v>
      </c>
      <c r="CM146" s="131">
        <f t="shared" si="219"/>
        <v>0</v>
      </c>
      <c r="CN146" s="136">
        <f t="shared" si="220"/>
        <v>0</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f t="shared" si="226"/>
        <v>0</v>
      </c>
      <c r="DC146" s="131">
        <f t="shared" si="185"/>
        <v>0</v>
      </c>
      <c r="DD146" s="131">
        <f t="shared" si="227"/>
        <v>0</v>
      </c>
      <c r="DE146" s="131">
        <f t="shared" si="228"/>
        <v>0</v>
      </c>
      <c r="DF146" s="131">
        <f t="shared" si="229"/>
        <v>0</v>
      </c>
      <c r="DG146" s="131">
        <f t="shared" si="230"/>
        <v>0</v>
      </c>
      <c r="DH146" s="131"/>
      <c r="DI146" s="131"/>
      <c r="DJ146" s="131"/>
      <c r="DK146" s="137">
        <f t="shared" si="260"/>
        <v>4620.5129979953599</v>
      </c>
      <c r="DL146" s="227" t="e">
        <f t="shared" si="231"/>
        <v>#REF!</v>
      </c>
      <c r="DM146" s="227" t="e">
        <f t="shared" si="232"/>
        <v>#REF!</v>
      </c>
      <c r="DN146" s="228" t="e">
        <f t="shared" si="186"/>
        <v>#REF!</v>
      </c>
      <c r="DO146" s="228">
        <f t="shared" si="233"/>
        <v>194.35242757490622</v>
      </c>
      <c r="DP146" s="228" t="e">
        <f t="shared" si="234"/>
        <v>#REF!</v>
      </c>
      <c r="DQ146" s="228" t="e">
        <f t="shared" si="235"/>
        <v>#REF!</v>
      </c>
    </row>
    <row r="147" spans="1:121">
      <c r="A147" s="132">
        <f t="shared" si="187"/>
        <v>137</v>
      </c>
      <c r="B147" s="18">
        <f t="shared" si="236"/>
        <v>137</v>
      </c>
      <c r="C147" s="18">
        <f>IF(A147=0," ",VLOOKUP(B147,'tosafot '!$A$7:$B$234,2,0))</f>
        <v>5.2019000000000002</v>
      </c>
      <c r="D147" s="220">
        <f t="shared" si="237"/>
        <v>228</v>
      </c>
      <c r="E147" s="130">
        <f t="shared" si="238"/>
        <v>12.2026</v>
      </c>
      <c r="F147" s="126">
        <f t="shared" si="239"/>
        <v>22</v>
      </c>
      <c r="G147" s="18" t="str">
        <f t="shared" si="240"/>
        <v>התחבורה</v>
      </c>
      <c r="H147" s="189">
        <f t="shared" si="241"/>
        <v>122</v>
      </c>
      <c r="I147" s="18">
        <f t="shared" si="242"/>
        <v>1</v>
      </c>
      <c r="J147" s="18" t="str">
        <f t="shared" si="243"/>
        <v>מינהלי - עובדי מדינה</v>
      </c>
      <c r="K147" s="189">
        <f t="shared" si="244"/>
        <v>1</v>
      </c>
      <c r="L147" s="18">
        <f t="shared" si="245"/>
        <v>12</v>
      </c>
      <c r="M147" s="129" t="str">
        <f t="shared" si="246"/>
        <v>17+</v>
      </c>
      <c r="N147" s="189"/>
      <c r="O147" s="132">
        <f t="shared" si="247"/>
        <v>1012</v>
      </c>
      <c r="P147" s="127">
        <f t="shared" si="248"/>
        <v>37</v>
      </c>
      <c r="Q147" s="127">
        <f t="shared" si="249"/>
        <v>36.75</v>
      </c>
      <c r="R147" s="128">
        <f t="shared" si="250"/>
        <v>148</v>
      </c>
      <c r="S147" s="130">
        <f t="shared" si="251"/>
        <v>1.4414995494685181</v>
      </c>
      <c r="T147" s="135">
        <f t="shared" si="188"/>
        <v>0</v>
      </c>
      <c r="U147" s="127">
        <f t="shared" si="189"/>
        <v>0</v>
      </c>
      <c r="V147" s="217">
        <v>0</v>
      </c>
      <c r="W147" s="191">
        <v>0</v>
      </c>
      <c r="X147" s="133">
        <v>0</v>
      </c>
      <c r="Y147" s="131">
        <f t="shared" si="190"/>
        <v>2438.5</v>
      </c>
      <c r="Z147" s="131">
        <f t="shared" si="191"/>
        <v>1076.5966513789815</v>
      </c>
      <c r="AA147" s="242">
        <f t="shared" si="192"/>
        <v>3515.0966513789817</v>
      </c>
      <c r="AB147" s="131">
        <f t="shared" si="193"/>
        <v>0</v>
      </c>
      <c r="AC147" s="131">
        <f t="shared" si="194"/>
        <v>140.60386605515927</v>
      </c>
      <c r="AD147" s="131">
        <f t="shared" si="195"/>
        <v>0</v>
      </c>
      <c r="AE147" s="131">
        <f t="shared" si="196"/>
        <v>0</v>
      </c>
      <c r="AF147" s="131">
        <f t="shared" si="197"/>
        <v>0</v>
      </c>
      <c r="AG147" s="131">
        <f t="shared" si="198"/>
        <v>0</v>
      </c>
      <c r="AH147" s="131">
        <f t="shared" si="199"/>
        <v>0</v>
      </c>
      <c r="AI147" s="131">
        <f t="shared" si="200"/>
        <v>0</v>
      </c>
      <c r="AJ147" s="131">
        <f t="shared" si="201"/>
        <v>0</v>
      </c>
      <c r="AK147" s="131"/>
      <c r="AL147" s="131">
        <f t="shared" si="202"/>
        <v>0</v>
      </c>
      <c r="AM147" s="131"/>
      <c r="AN147" s="243">
        <f t="shared" si="203"/>
        <v>0</v>
      </c>
      <c r="AO147" s="131">
        <f t="shared" si="204"/>
        <v>0</v>
      </c>
      <c r="AP147" s="131">
        <f t="shared" si="205"/>
        <v>0</v>
      </c>
      <c r="AQ147" s="131"/>
      <c r="AR147" s="131">
        <f t="shared" si="206"/>
        <v>0</v>
      </c>
      <c r="AS147" s="131">
        <f t="shared" si="252"/>
        <v>0</v>
      </c>
      <c r="AT147" s="131">
        <f t="shared" si="207"/>
        <v>0</v>
      </c>
      <c r="AU147" s="131">
        <f t="shared" si="208"/>
        <v>0</v>
      </c>
      <c r="AV147" s="131"/>
      <c r="AW147" s="131">
        <f t="shared" si="209"/>
        <v>0</v>
      </c>
      <c r="AX147" s="131">
        <f t="shared" si="263"/>
        <v>0</v>
      </c>
      <c r="AY147" s="131">
        <f t="shared" si="210"/>
        <v>0</v>
      </c>
      <c r="AZ147" s="131"/>
      <c r="BA147" s="131">
        <f t="shared" si="264"/>
        <v>0</v>
      </c>
      <c r="BB147" s="131"/>
      <c r="BC147" s="131"/>
      <c r="BD147" s="131">
        <f t="shared" si="211"/>
        <v>0</v>
      </c>
      <c r="BE147" s="131"/>
      <c r="BF147" s="131">
        <f t="shared" si="253"/>
        <v>0</v>
      </c>
      <c r="BG147" s="131">
        <f t="shared" si="254"/>
        <v>0</v>
      </c>
      <c r="BH147" s="131"/>
      <c r="BI147" s="131"/>
      <c r="BJ147" s="131"/>
      <c r="BK147" s="131">
        <f t="shared" si="255"/>
        <v>0</v>
      </c>
      <c r="BL147" s="131"/>
      <c r="BM147" s="131"/>
      <c r="BN147" s="131">
        <f t="shared" si="256"/>
        <v>0</v>
      </c>
      <c r="BO147" s="131"/>
      <c r="BP147" s="131">
        <f t="shared" si="257"/>
        <v>0</v>
      </c>
      <c r="BQ147" s="131"/>
      <c r="BR147" s="131"/>
      <c r="BS147" s="131"/>
      <c r="BT147" s="131"/>
      <c r="BU147" s="131"/>
      <c r="BV147" s="131">
        <f t="shared" si="258"/>
        <v>0</v>
      </c>
      <c r="BW147" s="131"/>
      <c r="BX147" s="131"/>
      <c r="BY147" s="131"/>
      <c r="BZ147" s="131">
        <f t="shared" si="259"/>
        <v>0</v>
      </c>
      <c r="CA147" s="131"/>
      <c r="CB147" s="136">
        <f t="shared" si="212"/>
        <v>160.55836672570746</v>
      </c>
      <c r="CC147" s="131">
        <f t="shared" si="213"/>
        <v>0</v>
      </c>
      <c r="CD147" s="136">
        <f t="shared" si="214"/>
        <v>0</v>
      </c>
      <c r="CE147" s="131">
        <f t="shared" si="262"/>
        <v>0</v>
      </c>
      <c r="CF147" s="136">
        <f t="shared" si="215"/>
        <v>0</v>
      </c>
      <c r="CG147" s="136"/>
      <c r="CH147" s="136">
        <f t="shared" si="261"/>
        <v>0</v>
      </c>
      <c r="CI147" s="131">
        <f t="shared" si="216"/>
        <v>0</v>
      </c>
      <c r="CJ147" s="131"/>
      <c r="CK147" s="136">
        <f t="shared" si="217"/>
        <v>0</v>
      </c>
      <c r="CL147" s="136">
        <f t="shared" si="218"/>
        <v>804.25411383551102</v>
      </c>
      <c r="CM147" s="131">
        <f t="shared" si="219"/>
        <v>0</v>
      </c>
      <c r="CN147" s="136">
        <f t="shared" si="220"/>
        <v>0</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f t="shared" si="226"/>
        <v>0</v>
      </c>
      <c r="DC147" s="131">
        <f t="shared" si="185"/>
        <v>0</v>
      </c>
      <c r="DD147" s="131">
        <f t="shared" si="227"/>
        <v>0</v>
      </c>
      <c r="DE147" s="131">
        <f t="shared" si="228"/>
        <v>0</v>
      </c>
      <c r="DF147" s="131">
        <f t="shared" si="229"/>
        <v>0</v>
      </c>
      <c r="DG147" s="131">
        <f t="shared" si="230"/>
        <v>0</v>
      </c>
      <c r="DH147" s="131"/>
      <c r="DI147" s="131"/>
      <c r="DJ147" s="131"/>
      <c r="DK147" s="137">
        <f t="shared" si="260"/>
        <v>4620.5129979953599</v>
      </c>
      <c r="DL147" s="227" t="e">
        <f t="shared" si="231"/>
        <v>#REF!</v>
      </c>
      <c r="DM147" s="227" t="e">
        <f t="shared" si="232"/>
        <v>#REF!</v>
      </c>
      <c r="DN147" s="228" t="e">
        <f t="shared" si="186"/>
        <v>#REF!</v>
      </c>
      <c r="DO147" s="228">
        <f t="shared" si="233"/>
        <v>194.35242757490622</v>
      </c>
      <c r="DP147" s="228" t="e">
        <f t="shared" si="234"/>
        <v>#REF!</v>
      </c>
      <c r="DQ147" s="228" t="e">
        <f t="shared" si="235"/>
        <v>#REF!</v>
      </c>
    </row>
    <row r="148" spans="1:121">
      <c r="A148" s="132">
        <f t="shared" si="187"/>
        <v>138</v>
      </c>
      <c r="B148" s="18">
        <f t="shared" si="236"/>
        <v>138</v>
      </c>
      <c r="C148" s="18">
        <f>IF(A148=0," ",VLOOKUP(B148,'tosafot '!$A$7:$B$234,2,0))</f>
        <v>6.2019000000000002</v>
      </c>
      <c r="D148" s="220">
        <f t="shared" si="237"/>
        <v>228</v>
      </c>
      <c r="E148" s="130">
        <f t="shared" si="238"/>
        <v>12.2026</v>
      </c>
      <c r="F148" s="126">
        <f t="shared" si="239"/>
        <v>22</v>
      </c>
      <c r="G148" s="18" t="str">
        <f t="shared" si="240"/>
        <v>התחבורה</v>
      </c>
      <c r="H148" s="189">
        <f t="shared" si="241"/>
        <v>122</v>
      </c>
      <c r="I148" s="18">
        <f t="shared" si="242"/>
        <v>1</v>
      </c>
      <c r="J148" s="18" t="str">
        <f t="shared" si="243"/>
        <v>מינהלי - עובדי מדינה</v>
      </c>
      <c r="K148" s="189">
        <f t="shared" si="244"/>
        <v>1</v>
      </c>
      <c r="L148" s="18">
        <f t="shared" si="245"/>
        <v>12</v>
      </c>
      <c r="M148" s="129" t="str">
        <f t="shared" si="246"/>
        <v>17+</v>
      </c>
      <c r="N148" s="189"/>
      <c r="O148" s="132">
        <f t="shared" si="247"/>
        <v>1012</v>
      </c>
      <c r="P148" s="127">
        <f t="shared" si="248"/>
        <v>37</v>
      </c>
      <c r="Q148" s="127">
        <f t="shared" si="249"/>
        <v>36.75</v>
      </c>
      <c r="R148" s="128">
        <f t="shared" si="250"/>
        <v>148</v>
      </c>
      <c r="S148" s="130">
        <f t="shared" si="251"/>
        <v>1.4414995494685181</v>
      </c>
      <c r="T148" s="135">
        <f t="shared" si="188"/>
        <v>0</v>
      </c>
      <c r="U148" s="127">
        <f t="shared" si="189"/>
        <v>0</v>
      </c>
      <c r="V148" s="217">
        <v>0</v>
      </c>
      <c r="W148" s="191">
        <v>0</v>
      </c>
      <c r="X148" s="133">
        <v>0</v>
      </c>
      <c r="Y148" s="131">
        <f t="shared" si="190"/>
        <v>2438.5</v>
      </c>
      <c r="Z148" s="131">
        <f t="shared" si="191"/>
        <v>1076.5966513789815</v>
      </c>
      <c r="AA148" s="242">
        <f t="shared" si="192"/>
        <v>3515.0966513789817</v>
      </c>
      <c r="AB148" s="131">
        <f t="shared" si="193"/>
        <v>0</v>
      </c>
      <c r="AC148" s="131">
        <f t="shared" si="194"/>
        <v>140.60386605515927</v>
      </c>
      <c r="AD148" s="131">
        <f t="shared" si="195"/>
        <v>0</v>
      </c>
      <c r="AE148" s="131">
        <f t="shared" si="196"/>
        <v>0</v>
      </c>
      <c r="AF148" s="131">
        <f t="shared" si="197"/>
        <v>0</v>
      </c>
      <c r="AG148" s="131">
        <f t="shared" si="198"/>
        <v>0</v>
      </c>
      <c r="AH148" s="131">
        <f t="shared" si="199"/>
        <v>0</v>
      </c>
      <c r="AI148" s="131">
        <f t="shared" si="200"/>
        <v>0</v>
      </c>
      <c r="AJ148" s="131">
        <f t="shared" si="201"/>
        <v>0</v>
      </c>
      <c r="AK148" s="131"/>
      <c r="AL148" s="131">
        <f t="shared" si="202"/>
        <v>0</v>
      </c>
      <c r="AM148" s="131"/>
      <c r="AN148" s="243">
        <f t="shared" si="203"/>
        <v>0</v>
      </c>
      <c r="AO148" s="131">
        <f t="shared" si="204"/>
        <v>0</v>
      </c>
      <c r="AP148" s="131">
        <f t="shared" si="205"/>
        <v>0</v>
      </c>
      <c r="AQ148" s="131"/>
      <c r="AR148" s="131">
        <f t="shared" si="206"/>
        <v>0</v>
      </c>
      <c r="AS148" s="131">
        <f t="shared" si="252"/>
        <v>0</v>
      </c>
      <c r="AT148" s="131">
        <f t="shared" si="207"/>
        <v>0</v>
      </c>
      <c r="AU148" s="131">
        <f t="shared" si="208"/>
        <v>0</v>
      </c>
      <c r="AV148" s="131"/>
      <c r="AW148" s="131">
        <f t="shared" si="209"/>
        <v>0</v>
      </c>
      <c r="AX148" s="131">
        <f t="shared" si="263"/>
        <v>0</v>
      </c>
      <c r="AY148" s="131">
        <f t="shared" si="210"/>
        <v>0</v>
      </c>
      <c r="AZ148" s="131"/>
      <c r="BA148" s="131">
        <f t="shared" si="264"/>
        <v>0</v>
      </c>
      <c r="BB148" s="131"/>
      <c r="BC148" s="131"/>
      <c r="BD148" s="131">
        <f t="shared" si="211"/>
        <v>0</v>
      </c>
      <c r="BE148" s="131"/>
      <c r="BF148" s="131">
        <f t="shared" si="253"/>
        <v>0</v>
      </c>
      <c r="BG148" s="131">
        <f t="shared" si="254"/>
        <v>0</v>
      </c>
      <c r="BH148" s="131"/>
      <c r="BI148" s="131"/>
      <c r="BJ148" s="131"/>
      <c r="BK148" s="131">
        <f t="shared" si="255"/>
        <v>0</v>
      </c>
      <c r="BL148" s="131"/>
      <c r="BM148" s="131"/>
      <c r="BN148" s="131">
        <f t="shared" si="256"/>
        <v>0</v>
      </c>
      <c r="BO148" s="131"/>
      <c r="BP148" s="131">
        <f t="shared" si="257"/>
        <v>0</v>
      </c>
      <c r="BQ148" s="131"/>
      <c r="BR148" s="131"/>
      <c r="BS148" s="131"/>
      <c r="BT148" s="131"/>
      <c r="BU148" s="131"/>
      <c r="BV148" s="131">
        <f t="shared" si="258"/>
        <v>0</v>
      </c>
      <c r="BW148" s="131"/>
      <c r="BX148" s="131"/>
      <c r="BY148" s="131"/>
      <c r="BZ148" s="131">
        <f t="shared" si="259"/>
        <v>0</v>
      </c>
      <c r="CA148" s="131"/>
      <c r="CB148" s="136">
        <f t="shared" si="212"/>
        <v>160.55836672570746</v>
      </c>
      <c r="CC148" s="131">
        <f t="shared" si="213"/>
        <v>0</v>
      </c>
      <c r="CD148" s="136">
        <f t="shared" si="214"/>
        <v>0</v>
      </c>
      <c r="CE148" s="131">
        <f t="shared" si="262"/>
        <v>0</v>
      </c>
      <c r="CF148" s="136">
        <f t="shared" si="215"/>
        <v>0</v>
      </c>
      <c r="CG148" s="136"/>
      <c r="CH148" s="136">
        <f t="shared" si="261"/>
        <v>0</v>
      </c>
      <c r="CI148" s="131">
        <f t="shared" si="216"/>
        <v>0</v>
      </c>
      <c r="CJ148" s="131"/>
      <c r="CK148" s="136">
        <f t="shared" si="217"/>
        <v>0</v>
      </c>
      <c r="CL148" s="136">
        <f t="shared" si="218"/>
        <v>804.25411383551102</v>
      </c>
      <c r="CM148" s="131">
        <f t="shared" si="219"/>
        <v>0</v>
      </c>
      <c r="CN148" s="136">
        <f t="shared" si="220"/>
        <v>0</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f t="shared" si="226"/>
        <v>0</v>
      </c>
      <c r="DC148" s="131">
        <f t="shared" si="185"/>
        <v>0</v>
      </c>
      <c r="DD148" s="131">
        <f t="shared" si="227"/>
        <v>0</v>
      </c>
      <c r="DE148" s="131">
        <f t="shared" si="228"/>
        <v>0</v>
      </c>
      <c r="DF148" s="131">
        <f t="shared" si="229"/>
        <v>0</v>
      </c>
      <c r="DG148" s="131">
        <f t="shared" si="230"/>
        <v>0</v>
      </c>
      <c r="DH148" s="131"/>
      <c r="DI148" s="131"/>
      <c r="DJ148" s="131"/>
      <c r="DK148" s="137">
        <f t="shared" si="260"/>
        <v>4620.5129979953599</v>
      </c>
      <c r="DL148" s="227" t="e">
        <f t="shared" si="231"/>
        <v>#REF!</v>
      </c>
      <c r="DM148" s="227" t="e">
        <f t="shared" si="232"/>
        <v>#REF!</v>
      </c>
      <c r="DN148" s="228" t="e">
        <f t="shared" si="186"/>
        <v>#REF!</v>
      </c>
      <c r="DO148" s="228">
        <f t="shared" si="233"/>
        <v>194.35242757490622</v>
      </c>
      <c r="DP148" s="228" t="e">
        <f t="shared" si="234"/>
        <v>#REF!</v>
      </c>
      <c r="DQ148" s="228" t="e">
        <f t="shared" si="235"/>
        <v>#REF!</v>
      </c>
    </row>
    <row r="149" spans="1:121">
      <c r="A149" s="132">
        <f t="shared" si="187"/>
        <v>139</v>
      </c>
      <c r="B149" s="18">
        <f t="shared" si="236"/>
        <v>139</v>
      </c>
      <c r="C149" s="18">
        <f>IF(A149=0," ",VLOOKUP(B149,'tosafot '!$A$7:$B$234,2,0))</f>
        <v>7.2019000000000002</v>
      </c>
      <c r="D149" s="220">
        <f t="shared" si="237"/>
        <v>228</v>
      </c>
      <c r="E149" s="130">
        <f t="shared" si="238"/>
        <v>12.2026</v>
      </c>
      <c r="F149" s="126">
        <f t="shared" si="239"/>
        <v>22</v>
      </c>
      <c r="G149" s="18" t="str">
        <f t="shared" si="240"/>
        <v>התחבורה</v>
      </c>
      <c r="H149" s="189">
        <f t="shared" si="241"/>
        <v>122</v>
      </c>
      <c r="I149" s="18">
        <f t="shared" si="242"/>
        <v>1</v>
      </c>
      <c r="J149" s="18" t="str">
        <f t="shared" si="243"/>
        <v>מינהלי - עובדי מדינה</v>
      </c>
      <c r="K149" s="189">
        <f t="shared" si="244"/>
        <v>1</v>
      </c>
      <c r="L149" s="18">
        <f t="shared" si="245"/>
        <v>12</v>
      </c>
      <c r="M149" s="129" t="str">
        <f t="shared" si="246"/>
        <v>17+</v>
      </c>
      <c r="N149" s="189"/>
      <c r="O149" s="132">
        <f t="shared" si="247"/>
        <v>1012</v>
      </c>
      <c r="P149" s="127">
        <f t="shared" si="248"/>
        <v>37</v>
      </c>
      <c r="Q149" s="127">
        <f t="shared" si="249"/>
        <v>36.75</v>
      </c>
      <c r="R149" s="128">
        <f t="shared" si="250"/>
        <v>148</v>
      </c>
      <c r="S149" s="130">
        <f t="shared" si="251"/>
        <v>1.4414995494685181</v>
      </c>
      <c r="T149" s="135">
        <f t="shared" si="188"/>
        <v>0</v>
      </c>
      <c r="U149" s="127">
        <f t="shared" si="189"/>
        <v>0</v>
      </c>
      <c r="V149" s="217">
        <v>0</v>
      </c>
      <c r="W149" s="191">
        <v>0</v>
      </c>
      <c r="X149" s="133">
        <v>0</v>
      </c>
      <c r="Y149" s="131">
        <f t="shared" si="190"/>
        <v>2438.5</v>
      </c>
      <c r="Z149" s="131">
        <f t="shared" si="191"/>
        <v>1076.5966513789815</v>
      </c>
      <c r="AA149" s="242">
        <f t="shared" si="192"/>
        <v>3515.0966513789817</v>
      </c>
      <c r="AB149" s="131">
        <f t="shared" si="193"/>
        <v>0</v>
      </c>
      <c r="AC149" s="131">
        <f t="shared" si="194"/>
        <v>140.60386605515927</v>
      </c>
      <c r="AD149" s="131">
        <f t="shared" si="195"/>
        <v>0</v>
      </c>
      <c r="AE149" s="131">
        <f t="shared" si="196"/>
        <v>0</v>
      </c>
      <c r="AF149" s="131">
        <f t="shared" si="197"/>
        <v>0</v>
      </c>
      <c r="AG149" s="131">
        <f t="shared" si="198"/>
        <v>0</v>
      </c>
      <c r="AH149" s="131">
        <f t="shared" si="199"/>
        <v>0</v>
      </c>
      <c r="AI149" s="131">
        <f t="shared" si="200"/>
        <v>0</v>
      </c>
      <c r="AJ149" s="131">
        <f t="shared" si="201"/>
        <v>0</v>
      </c>
      <c r="AK149" s="131"/>
      <c r="AL149" s="131">
        <f t="shared" si="202"/>
        <v>0</v>
      </c>
      <c r="AM149" s="131"/>
      <c r="AN149" s="243">
        <f t="shared" si="203"/>
        <v>0</v>
      </c>
      <c r="AO149" s="131">
        <f t="shared" si="204"/>
        <v>0</v>
      </c>
      <c r="AP149" s="131">
        <f t="shared" si="205"/>
        <v>0</v>
      </c>
      <c r="AQ149" s="131"/>
      <c r="AR149" s="131">
        <f t="shared" si="206"/>
        <v>0</v>
      </c>
      <c r="AS149" s="131">
        <f t="shared" si="252"/>
        <v>0</v>
      </c>
      <c r="AT149" s="131">
        <f t="shared" si="207"/>
        <v>0</v>
      </c>
      <c r="AU149" s="131">
        <f t="shared" si="208"/>
        <v>0</v>
      </c>
      <c r="AV149" s="131"/>
      <c r="AW149" s="131">
        <f t="shared" si="209"/>
        <v>0</v>
      </c>
      <c r="AX149" s="131">
        <f t="shared" si="263"/>
        <v>0</v>
      </c>
      <c r="AY149" s="131">
        <f t="shared" si="210"/>
        <v>0</v>
      </c>
      <c r="AZ149" s="131"/>
      <c r="BA149" s="131">
        <f t="shared" si="264"/>
        <v>0</v>
      </c>
      <c r="BB149" s="131"/>
      <c r="BC149" s="131"/>
      <c r="BD149" s="131">
        <f t="shared" si="211"/>
        <v>0</v>
      </c>
      <c r="BE149" s="131"/>
      <c r="BF149" s="131">
        <f t="shared" si="253"/>
        <v>0</v>
      </c>
      <c r="BG149" s="131">
        <f t="shared" si="254"/>
        <v>0</v>
      </c>
      <c r="BH149" s="131"/>
      <c r="BI149" s="131"/>
      <c r="BJ149" s="131"/>
      <c r="BK149" s="131">
        <f t="shared" si="255"/>
        <v>0</v>
      </c>
      <c r="BL149" s="131"/>
      <c r="BM149" s="131"/>
      <c r="BN149" s="131">
        <f t="shared" si="256"/>
        <v>0</v>
      </c>
      <c r="BO149" s="131"/>
      <c r="BP149" s="131">
        <f t="shared" si="257"/>
        <v>0</v>
      </c>
      <c r="BQ149" s="131"/>
      <c r="BR149" s="131"/>
      <c r="BS149" s="131"/>
      <c r="BT149" s="131"/>
      <c r="BU149" s="131"/>
      <c r="BV149" s="131">
        <f t="shared" si="258"/>
        <v>0</v>
      </c>
      <c r="BW149" s="131"/>
      <c r="BX149" s="131"/>
      <c r="BY149" s="131"/>
      <c r="BZ149" s="131">
        <f t="shared" si="259"/>
        <v>0</v>
      </c>
      <c r="CA149" s="131"/>
      <c r="CB149" s="136">
        <f t="shared" si="212"/>
        <v>160.55836672570746</v>
      </c>
      <c r="CC149" s="131">
        <f t="shared" si="213"/>
        <v>0</v>
      </c>
      <c r="CD149" s="136">
        <f t="shared" si="214"/>
        <v>0</v>
      </c>
      <c r="CE149" s="131">
        <f t="shared" si="262"/>
        <v>0</v>
      </c>
      <c r="CF149" s="136">
        <f t="shared" si="215"/>
        <v>0</v>
      </c>
      <c r="CG149" s="136"/>
      <c r="CH149" s="136">
        <f t="shared" si="261"/>
        <v>0</v>
      </c>
      <c r="CI149" s="131">
        <f t="shared" si="216"/>
        <v>0</v>
      </c>
      <c r="CJ149" s="131"/>
      <c r="CK149" s="136">
        <f t="shared" si="217"/>
        <v>0</v>
      </c>
      <c r="CL149" s="136">
        <f t="shared" si="218"/>
        <v>804.25411383551102</v>
      </c>
      <c r="CM149" s="131">
        <f t="shared" si="219"/>
        <v>0</v>
      </c>
      <c r="CN149" s="136">
        <f t="shared" si="220"/>
        <v>0</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f t="shared" si="226"/>
        <v>0</v>
      </c>
      <c r="DC149" s="131">
        <f t="shared" si="185"/>
        <v>0</v>
      </c>
      <c r="DD149" s="131">
        <f t="shared" si="227"/>
        <v>0</v>
      </c>
      <c r="DE149" s="131">
        <f t="shared" si="228"/>
        <v>0</v>
      </c>
      <c r="DF149" s="131">
        <f t="shared" si="229"/>
        <v>0</v>
      </c>
      <c r="DG149" s="131">
        <f t="shared" si="230"/>
        <v>0</v>
      </c>
      <c r="DH149" s="131"/>
      <c r="DI149" s="131"/>
      <c r="DJ149" s="131"/>
      <c r="DK149" s="137">
        <f t="shared" si="260"/>
        <v>4620.5129979953599</v>
      </c>
      <c r="DL149" s="227" t="e">
        <f t="shared" si="231"/>
        <v>#REF!</v>
      </c>
      <c r="DM149" s="227" t="e">
        <f t="shared" si="232"/>
        <v>#REF!</v>
      </c>
      <c r="DN149" s="228" t="e">
        <f t="shared" si="186"/>
        <v>#REF!</v>
      </c>
      <c r="DO149" s="228">
        <f t="shared" si="233"/>
        <v>194.35242757490622</v>
      </c>
      <c r="DP149" s="228" t="e">
        <f t="shared" si="234"/>
        <v>#REF!</v>
      </c>
      <c r="DQ149" s="228" t="e">
        <f t="shared" si="235"/>
        <v>#REF!</v>
      </c>
    </row>
    <row r="150" spans="1:121">
      <c r="A150" s="132">
        <f t="shared" si="187"/>
        <v>140</v>
      </c>
      <c r="B150" s="18">
        <f t="shared" si="236"/>
        <v>140</v>
      </c>
      <c r="C150" s="18">
        <f>IF(A150=0," ",VLOOKUP(B150,'tosafot '!$A$7:$B$234,2,0))</f>
        <v>8.2019000000000002</v>
      </c>
      <c r="D150" s="220">
        <f t="shared" si="237"/>
        <v>228</v>
      </c>
      <c r="E150" s="130">
        <f t="shared" si="238"/>
        <v>12.2026</v>
      </c>
      <c r="F150" s="126">
        <f t="shared" si="239"/>
        <v>22</v>
      </c>
      <c r="G150" s="18" t="str">
        <f t="shared" si="240"/>
        <v>התחבורה</v>
      </c>
      <c r="H150" s="189">
        <f t="shared" si="241"/>
        <v>122</v>
      </c>
      <c r="I150" s="18">
        <f t="shared" si="242"/>
        <v>1</v>
      </c>
      <c r="J150" s="18" t="str">
        <f t="shared" si="243"/>
        <v>מינהלי - עובדי מדינה</v>
      </c>
      <c r="K150" s="189">
        <f t="shared" si="244"/>
        <v>1</v>
      </c>
      <c r="L150" s="18">
        <f t="shared" si="245"/>
        <v>12</v>
      </c>
      <c r="M150" s="129" t="str">
        <f t="shared" si="246"/>
        <v>17+</v>
      </c>
      <c r="N150" s="189"/>
      <c r="O150" s="132">
        <f t="shared" si="247"/>
        <v>1012</v>
      </c>
      <c r="P150" s="127">
        <f t="shared" si="248"/>
        <v>37</v>
      </c>
      <c r="Q150" s="127">
        <f t="shared" si="249"/>
        <v>36.75</v>
      </c>
      <c r="R150" s="128">
        <f t="shared" si="250"/>
        <v>148</v>
      </c>
      <c r="S150" s="130">
        <f t="shared" si="251"/>
        <v>1.4414995494685181</v>
      </c>
      <c r="T150" s="135">
        <f t="shared" si="188"/>
        <v>0</v>
      </c>
      <c r="U150" s="127">
        <f t="shared" si="189"/>
        <v>0</v>
      </c>
      <c r="V150" s="217">
        <v>0</v>
      </c>
      <c r="W150" s="191">
        <v>0</v>
      </c>
      <c r="X150" s="133">
        <v>0</v>
      </c>
      <c r="Y150" s="131">
        <f t="shared" si="190"/>
        <v>2438.5</v>
      </c>
      <c r="Z150" s="131">
        <f t="shared" si="191"/>
        <v>1076.5966513789815</v>
      </c>
      <c r="AA150" s="242">
        <f t="shared" si="192"/>
        <v>3515.0966513789817</v>
      </c>
      <c r="AB150" s="131">
        <f t="shared" si="193"/>
        <v>0</v>
      </c>
      <c r="AC150" s="131">
        <f t="shared" si="194"/>
        <v>140.60386605515927</v>
      </c>
      <c r="AD150" s="131">
        <f t="shared" si="195"/>
        <v>0</v>
      </c>
      <c r="AE150" s="131">
        <f t="shared" si="196"/>
        <v>0</v>
      </c>
      <c r="AF150" s="131">
        <f t="shared" si="197"/>
        <v>0</v>
      </c>
      <c r="AG150" s="131">
        <f t="shared" si="198"/>
        <v>0</v>
      </c>
      <c r="AH150" s="131">
        <f t="shared" si="199"/>
        <v>0</v>
      </c>
      <c r="AI150" s="131">
        <f t="shared" si="200"/>
        <v>0</v>
      </c>
      <c r="AJ150" s="131">
        <f t="shared" si="201"/>
        <v>0</v>
      </c>
      <c r="AK150" s="131"/>
      <c r="AL150" s="131">
        <f t="shared" si="202"/>
        <v>0</v>
      </c>
      <c r="AM150" s="131"/>
      <c r="AN150" s="243">
        <f t="shared" si="203"/>
        <v>0</v>
      </c>
      <c r="AO150" s="131">
        <f t="shared" si="204"/>
        <v>0</v>
      </c>
      <c r="AP150" s="131">
        <f t="shared" si="205"/>
        <v>0</v>
      </c>
      <c r="AQ150" s="131"/>
      <c r="AR150" s="131">
        <f t="shared" si="206"/>
        <v>0</v>
      </c>
      <c r="AS150" s="131">
        <f t="shared" si="252"/>
        <v>0</v>
      </c>
      <c r="AT150" s="131">
        <f t="shared" si="207"/>
        <v>0</v>
      </c>
      <c r="AU150" s="131">
        <f t="shared" si="208"/>
        <v>0</v>
      </c>
      <c r="AV150" s="131"/>
      <c r="AW150" s="131">
        <f t="shared" si="209"/>
        <v>0</v>
      </c>
      <c r="AX150" s="131">
        <f t="shared" si="263"/>
        <v>0</v>
      </c>
      <c r="AY150" s="131">
        <f t="shared" si="210"/>
        <v>0</v>
      </c>
      <c r="AZ150" s="131"/>
      <c r="BA150" s="131">
        <f t="shared" si="264"/>
        <v>0</v>
      </c>
      <c r="BB150" s="131"/>
      <c r="BC150" s="131"/>
      <c r="BD150" s="131">
        <f t="shared" si="211"/>
        <v>0</v>
      </c>
      <c r="BE150" s="131"/>
      <c r="BF150" s="131">
        <f t="shared" si="253"/>
        <v>0</v>
      </c>
      <c r="BG150" s="131">
        <f t="shared" si="254"/>
        <v>0</v>
      </c>
      <c r="BH150" s="131"/>
      <c r="BI150" s="131"/>
      <c r="BJ150" s="131"/>
      <c r="BK150" s="131">
        <f t="shared" si="255"/>
        <v>0</v>
      </c>
      <c r="BL150" s="131"/>
      <c r="BM150" s="131"/>
      <c r="BN150" s="131">
        <f t="shared" si="256"/>
        <v>0</v>
      </c>
      <c r="BO150" s="131"/>
      <c r="BP150" s="131">
        <f t="shared" si="257"/>
        <v>0</v>
      </c>
      <c r="BQ150" s="131"/>
      <c r="BR150" s="131"/>
      <c r="BS150" s="131"/>
      <c r="BT150" s="131"/>
      <c r="BU150" s="131"/>
      <c r="BV150" s="131">
        <f t="shared" si="258"/>
        <v>0</v>
      </c>
      <c r="BW150" s="131"/>
      <c r="BX150" s="131"/>
      <c r="BY150" s="131"/>
      <c r="BZ150" s="131">
        <f t="shared" si="259"/>
        <v>0</v>
      </c>
      <c r="CA150" s="131"/>
      <c r="CB150" s="136">
        <f t="shared" si="212"/>
        <v>160.55836672570746</v>
      </c>
      <c r="CC150" s="131">
        <f t="shared" si="213"/>
        <v>0</v>
      </c>
      <c r="CD150" s="136">
        <f t="shared" si="214"/>
        <v>0</v>
      </c>
      <c r="CE150" s="131">
        <f t="shared" si="262"/>
        <v>0</v>
      </c>
      <c r="CF150" s="136">
        <f t="shared" si="215"/>
        <v>0</v>
      </c>
      <c r="CG150" s="136"/>
      <c r="CH150" s="136">
        <f t="shared" si="261"/>
        <v>0</v>
      </c>
      <c r="CI150" s="131">
        <f t="shared" si="216"/>
        <v>0</v>
      </c>
      <c r="CJ150" s="131"/>
      <c r="CK150" s="136">
        <f t="shared" si="217"/>
        <v>0</v>
      </c>
      <c r="CL150" s="136">
        <f t="shared" si="218"/>
        <v>804.25411383551102</v>
      </c>
      <c r="CM150" s="131">
        <f t="shared" si="219"/>
        <v>0</v>
      </c>
      <c r="CN150" s="136">
        <f t="shared" si="220"/>
        <v>0</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f t="shared" si="226"/>
        <v>0</v>
      </c>
      <c r="DC150" s="131">
        <f t="shared" si="185"/>
        <v>0</v>
      </c>
      <c r="DD150" s="131">
        <f t="shared" si="227"/>
        <v>0</v>
      </c>
      <c r="DE150" s="131">
        <f t="shared" si="228"/>
        <v>0</v>
      </c>
      <c r="DF150" s="131">
        <f t="shared" si="229"/>
        <v>0</v>
      </c>
      <c r="DG150" s="131">
        <f t="shared" si="230"/>
        <v>0</v>
      </c>
      <c r="DH150" s="131"/>
      <c r="DI150" s="131"/>
      <c r="DJ150" s="131"/>
      <c r="DK150" s="137">
        <f t="shared" si="260"/>
        <v>4620.5129979953599</v>
      </c>
      <c r="DL150" s="227" t="e">
        <f t="shared" si="231"/>
        <v>#REF!</v>
      </c>
      <c r="DM150" s="227" t="e">
        <f t="shared" si="232"/>
        <v>#REF!</v>
      </c>
      <c r="DN150" s="228" t="e">
        <f t="shared" si="186"/>
        <v>#REF!</v>
      </c>
      <c r="DO150" s="228">
        <f t="shared" si="233"/>
        <v>194.35242757490622</v>
      </c>
      <c r="DP150" s="228" t="e">
        <f t="shared" si="234"/>
        <v>#REF!</v>
      </c>
      <c r="DQ150" s="228" t="e">
        <f t="shared" si="235"/>
        <v>#REF!</v>
      </c>
    </row>
    <row r="151" spans="1:121">
      <c r="A151" s="132">
        <f t="shared" si="187"/>
        <v>141</v>
      </c>
      <c r="B151" s="18">
        <f t="shared" si="236"/>
        <v>141</v>
      </c>
      <c r="C151" s="18">
        <f>IF(A151=0," ",VLOOKUP(B151,'tosafot '!$A$7:$B$234,2,0))</f>
        <v>9.2019000000000002</v>
      </c>
      <c r="D151" s="220">
        <f t="shared" si="237"/>
        <v>228</v>
      </c>
      <c r="E151" s="130">
        <f t="shared" si="238"/>
        <v>12.2026</v>
      </c>
      <c r="F151" s="126">
        <f t="shared" si="239"/>
        <v>22</v>
      </c>
      <c r="G151" s="18" t="str">
        <f t="shared" si="240"/>
        <v>התחבורה</v>
      </c>
      <c r="H151" s="189">
        <f t="shared" si="241"/>
        <v>122</v>
      </c>
      <c r="I151" s="18">
        <f t="shared" si="242"/>
        <v>1</v>
      </c>
      <c r="J151" s="18" t="str">
        <f t="shared" si="243"/>
        <v>מינהלי - עובדי מדינה</v>
      </c>
      <c r="K151" s="189">
        <f t="shared" si="244"/>
        <v>1</v>
      </c>
      <c r="L151" s="18">
        <f t="shared" si="245"/>
        <v>12</v>
      </c>
      <c r="M151" s="129" t="str">
        <f t="shared" si="246"/>
        <v>17+</v>
      </c>
      <c r="N151" s="189"/>
      <c r="O151" s="132">
        <f t="shared" si="247"/>
        <v>1012</v>
      </c>
      <c r="P151" s="127">
        <f t="shared" si="248"/>
        <v>37</v>
      </c>
      <c r="Q151" s="127">
        <f t="shared" si="249"/>
        <v>36.75</v>
      </c>
      <c r="R151" s="128">
        <f t="shared" si="250"/>
        <v>148</v>
      </c>
      <c r="S151" s="130">
        <f t="shared" si="251"/>
        <v>1.4414995494685181</v>
      </c>
      <c r="T151" s="135">
        <f t="shared" si="188"/>
        <v>0</v>
      </c>
      <c r="U151" s="127">
        <f t="shared" si="189"/>
        <v>0</v>
      </c>
      <c r="V151" s="217">
        <v>0</v>
      </c>
      <c r="W151" s="191">
        <v>0</v>
      </c>
      <c r="X151" s="133">
        <v>0</v>
      </c>
      <c r="Y151" s="131">
        <f t="shared" si="190"/>
        <v>2438.5</v>
      </c>
      <c r="Z151" s="131">
        <f t="shared" si="191"/>
        <v>1076.5966513789815</v>
      </c>
      <c r="AA151" s="242">
        <f t="shared" si="192"/>
        <v>3515.0966513789817</v>
      </c>
      <c r="AB151" s="131">
        <f t="shared" si="193"/>
        <v>0</v>
      </c>
      <c r="AC151" s="131">
        <f t="shared" si="194"/>
        <v>140.60386605515927</v>
      </c>
      <c r="AD151" s="131">
        <f t="shared" si="195"/>
        <v>0</v>
      </c>
      <c r="AE151" s="131">
        <f t="shared" si="196"/>
        <v>0</v>
      </c>
      <c r="AF151" s="131">
        <f t="shared" si="197"/>
        <v>0</v>
      </c>
      <c r="AG151" s="131">
        <f t="shared" si="198"/>
        <v>0</v>
      </c>
      <c r="AH151" s="131">
        <f t="shared" si="199"/>
        <v>0</v>
      </c>
      <c r="AI151" s="131">
        <f t="shared" si="200"/>
        <v>0</v>
      </c>
      <c r="AJ151" s="131">
        <f t="shared" si="201"/>
        <v>0</v>
      </c>
      <c r="AK151" s="131"/>
      <c r="AL151" s="131">
        <f t="shared" si="202"/>
        <v>0</v>
      </c>
      <c r="AM151" s="131"/>
      <c r="AN151" s="243">
        <f t="shared" si="203"/>
        <v>0</v>
      </c>
      <c r="AO151" s="131">
        <f t="shared" si="204"/>
        <v>0</v>
      </c>
      <c r="AP151" s="131">
        <f t="shared" si="205"/>
        <v>0</v>
      </c>
      <c r="AQ151" s="131"/>
      <c r="AR151" s="131">
        <f t="shared" si="206"/>
        <v>0</v>
      </c>
      <c r="AS151" s="131">
        <f t="shared" si="252"/>
        <v>0</v>
      </c>
      <c r="AT151" s="131">
        <f t="shared" si="207"/>
        <v>0</v>
      </c>
      <c r="AU151" s="131">
        <f t="shared" si="208"/>
        <v>0</v>
      </c>
      <c r="AV151" s="131"/>
      <c r="AW151" s="131">
        <f t="shared" si="209"/>
        <v>0</v>
      </c>
      <c r="AX151" s="131">
        <f t="shared" si="263"/>
        <v>0</v>
      </c>
      <c r="AY151" s="131">
        <f t="shared" si="210"/>
        <v>0</v>
      </c>
      <c r="AZ151" s="131"/>
      <c r="BA151" s="131">
        <f t="shared" si="264"/>
        <v>0</v>
      </c>
      <c r="BB151" s="131"/>
      <c r="BC151" s="131"/>
      <c r="BD151" s="131">
        <f t="shared" si="211"/>
        <v>0</v>
      </c>
      <c r="BE151" s="131"/>
      <c r="BF151" s="131">
        <f t="shared" si="253"/>
        <v>0</v>
      </c>
      <c r="BG151" s="131">
        <f t="shared" si="254"/>
        <v>0</v>
      </c>
      <c r="BH151" s="131"/>
      <c r="BI151" s="131"/>
      <c r="BJ151" s="131"/>
      <c r="BK151" s="131">
        <f t="shared" si="255"/>
        <v>0</v>
      </c>
      <c r="BL151" s="131"/>
      <c r="BM151" s="131"/>
      <c r="BN151" s="131">
        <f t="shared" si="256"/>
        <v>0</v>
      </c>
      <c r="BO151" s="131"/>
      <c r="BP151" s="131">
        <f t="shared" si="257"/>
        <v>0</v>
      </c>
      <c r="BQ151" s="131"/>
      <c r="BR151" s="131"/>
      <c r="BS151" s="131"/>
      <c r="BT151" s="131"/>
      <c r="BU151" s="131"/>
      <c r="BV151" s="131">
        <f t="shared" si="258"/>
        <v>0</v>
      </c>
      <c r="BW151" s="131"/>
      <c r="BX151" s="131"/>
      <c r="BY151" s="131"/>
      <c r="BZ151" s="131">
        <f t="shared" si="259"/>
        <v>0</v>
      </c>
      <c r="CA151" s="131"/>
      <c r="CB151" s="136">
        <f t="shared" si="212"/>
        <v>160.55836672570746</v>
      </c>
      <c r="CC151" s="131">
        <f t="shared" si="213"/>
        <v>0</v>
      </c>
      <c r="CD151" s="136">
        <f t="shared" si="214"/>
        <v>0</v>
      </c>
      <c r="CE151" s="131">
        <f t="shared" si="262"/>
        <v>0</v>
      </c>
      <c r="CF151" s="136">
        <f t="shared" si="215"/>
        <v>0</v>
      </c>
      <c r="CG151" s="136"/>
      <c r="CH151" s="136">
        <f t="shared" si="261"/>
        <v>0</v>
      </c>
      <c r="CI151" s="131">
        <f t="shared" si="216"/>
        <v>0</v>
      </c>
      <c r="CJ151" s="131"/>
      <c r="CK151" s="136">
        <f t="shared" si="217"/>
        <v>0</v>
      </c>
      <c r="CL151" s="136">
        <f t="shared" si="218"/>
        <v>804.25411383551102</v>
      </c>
      <c r="CM151" s="131">
        <f t="shared" si="219"/>
        <v>0</v>
      </c>
      <c r="CN151" s="136">
        <f t="shared" si="220"/>
        <v>0</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f t="shared" si="226"/>
        <v>0</v>
      </c>
      <c r="DC151" s="131">
        <f t="shared" si="185"/>
        <v>0</v>
      </c>
      <c r="DD151" s="131">
        <f t="shared" si="227"/>
        <v>0</v>
      </c>
      <c r="DE151" s="131">
        <f t="shared" si="228"/>
        <v>0</v>
      </c>
      <c r="DF151" s="131">
        <f t="shared" si="229"/>
        <v>0</v>
      </c>
      <c r="DG151" s="131">
        <f t="shared" si="230"/>
        <v>0</v>
      </c>
      <c r="DH151" s="131"/>
      <c r="DI151" s="131"/>
      <c r="DJ151" s="131"/>
      <c r="DK151" s="137">
        <f t="shared" si="260"/>
        <v>4620.5129979953599</v>
      </c>
      <c r="DL151" s="227" t="e">
        <f t="shared" si="231"/>
        <v>#REF!</v>
      </c>
      <c r="DM151" s="227" t="e">
        <f t="shared" si="232"/>
        <v>#REF!</v>
      </c>
      <c r="DN151" s="228" t="e">
        <f t="shared" si="186"/>
        <v>#REF!</v>
      </c>
      <c r="DO151" s="228">
        <f t="shared" si="233"/>
        <v>194.35242757490622</v>
      </c>
      <c r="DP151" s="228" t="e">
        <f t="shared" si="234"/>
        <v>#REF!</v>
      </c>
      <c r="DQ151" s="228" t="e">
        <f t="shared" si="235"/>
        <v>#REF!</v>
      </c>
    </row>
    <row r="152" spans="1:121">
      <c r="A152" s="132">
        <f t="shared" si="187"/>
        <v>142</v>
      </c>
      <c r="B152" s="18">
        <f t="shared" si="236"/>
        <v>142</v>
      </c>
      <c r="C152" s="18">
        <f>IF(A152=0," ",VLOOKUP(B152,'tosafot '!$A$7:$B$234,2,0))</f>
        <v>10.2019</v>
      </c>
      <c r="D152" s="220">
        <f t="shared" si="237"/>
        <v>228</v>
      </c>
      <c r="E152" s="130">
        <f t="shared" si="238"/>
        <v>12.2026</v>
      </c>
      <c r="F152" s="126">
        <f t="shared" si="239"/>
        <v>22</v>
      </c>
      <c r="G152" s="18" t="str">
        <f t="shared" si="240"/>
        <v>התחבורה</v>
      </c>
      <c r="H152" s="189">
        <f t="shared" si="241"/>
        <v>122</v>
      </c>
      <c r="I152" s="18">
        <f t="shared" si="242"/>
        <v>1</v>
      </c>
      <c r="J152" s="18" t="str">
        <f t="shared" si="243"/>
        <v>מינהלי - עובדי מדינה</v>
      </c>
      <c r="K152" s="189">
        <f t="shared" si="244"/>
        <v>1</v>
      </c>
      <c r="L152" s="18">
        <f t="shared" si="245"/>
        <v>12</v>
      </c>
      <c r="M152" s="129" t="str">
        <f t="shared" si="246"/>
        <v>17+</v>
      </c>
      <c r="N152" s="189"/>
      <c r="O152" s="132">
        <f t="shared" si="247"/>
        <v>1012</v>
      </c>
      <c r="P152" s="127">
        <f t="shared" si="248"/>
        <v>37</v>
      </c>
      <c r="Q152" s="127">
        <f t="shared" si="249"/>
        <v>36.75</v>
      </c>
      <c r="R152" s="128">
        <f t="shared" si="250"/>
        <v>148</v>
      </c>
      <c r="S152" s="130">
        <f t="shared" si="251"/>
        <v>1.4414995494685181</v>
      </c>
      <c r="T152" s="135">
        <f t="shared" si="188"/>
        <v>0</v>
      </c>
      <c r="U152" s="127">
        <f t="shared" si="189"/>
        <v>0</v>
      </c>
      <c r="V152" s="217">
        <v>0</v>
      </c>
      <c r="W152" s="191">
        <v>0</v>
      </c>
      <c r="X152" s="133">
        <v>0</v>
      </c>
      <c r="Y152" s="131">
        <f t="shared" si="190"/>
        <v>2438.5</v>
      </c>
      <c r="Z152" s="131">
        <f t="shared" si="191"/>
        <v>1076.5966513789815</v>
      </c>
      <c r="AA152" s="242">
        <f t="shared" si="192"/>
        <v>3515.0966513789817</v>
      </c>
      <c r="AB152" s="131">
        <f t="shared" si="193"/>
        <v>0</v>
      </c>
      <c r="AC152" s="131">
        <f t="shared" si="194"/>
        <v>140.60386605515927</v>
      </c>
      <c r="AD152" s="131">
        <f t="shared" si="195"/>
        <v>0</v>
      </c>
      <c r="AE152" s="131">
        <f t="shared" si="196"/>
        <v>0</v>
      </c>
      <c r="AF152" s="131">
        <f t="shared" si="197"/>
        <v>0</v>
      </c>
      <c r="AG152" s="131">
        <f t="shared" si="198"/>
        <v>0</v>
      </c>
      <c r="AH152" s="131">
        <f t="shared" si="199"/>
        <v>0</v>
      </c>
      <c r="AI152" s="131">
        <f t="shared" si="200"/>
        <v>0</v>
      </c>
      <c r="AJ152" s="131">
        <f t="shared" si="201"/>
        <v>0</v>
      </c>
      <c r="AK152" s="131"/>
      <c r="AL152" s="131">
        <f t="shared" si="202"/>
        <v>0</v>
      </c>
      <c r="AM152" s="131"/>
      <c r="AN152" s="243">
        <f t="shared" si="203"/>
        <v>0</v>
      </c>
      <c r="AO152" s="131">
        <f t="shared" si="204"/>
        <v>0</v>
      </c>
      <c r="AP152" s="131">
        <f t="shared" si="205"/>
        <v>0</v>
      </c>
      <c r="AQ152" s="131"/>
      <c r="AR152" s="131">
        <f t="shared" si="206"/>
        <v>0</v>
      </c>
      <c r="AS152" s="131">
        <f t="shared" si="252"/>
        <v>0</v>
      </c>
      <c r="AT152" s="131">
        <f t="shared" si="207"/>
        <v>0</v>
      </c>
      <c r="AU152" s="131">
        <f t="shared" si="208"/>
        <v>0</v>
      </c>
      <c r="AV152" s="131"/>
      <c r="AW152" s="131">
        <f t="shared" si="209"/>
        <v>0</v>
      </c>
      <c r="AX152" s="131">
        <f t="shared" si="263"/>
        <v>0</v>
      </c>
      <c r="AY152" s="131">
        <f t="shared" si="210"/>
        <v>0</v>
      </c>
      <c r="AZ152" s="131"/>
      <c r="BA152" s="131">
        <f t="shared" si="264"/>
        <v>0</v>
      </c>
      <c r="BB152" s="131"/>
      <c r="BC152" s="131"/>
      <c r="BD152" s="131">
        <f t="shared" si="211"/>
        <v>0</v>
      </c>
      <c r="BE152" s="131"/>
      <c r="BF152" s="131">
        <f t="shared" si="253"/>
        <v>0</v>
      </c>
      <c r="BG152" s="131">
        <f t="shared" si="254"/>
        <v>0</v>
      </c>
      <c r="BH152" s="131"/>
      <c r="BI152" s="131"/>
      <c r="BJ152" s="131"/>
      <c r="BK152" s="131">
        <f t="shared" si="255"/>
        <v>0</v>
      </c>
      <c r="BL152" s="131"/>
      <c r="BM152" s="131"/>
      <c r="BN152" s="131">
        <f t="shared" si="256"/>
        <v>0</v>
      </c>
      <c r="BO152" s="131"/>
      <c r="BP152" s="131">
        <f t="shared" si="257"/>
        <v>0</v>
      </c>
      <c r="BQ152" s="131"/>
      <c r="BR152" s="131"/>
      <c r="BS152" s="131"/>
      <c r="BT152" s="131"/>
      <c r="BU152" s="131"/>
      <c r="BV152" s="131">
        <f t="shared" si="258"/>
        <v>0</v>
      </c>
      <c r="BW152" s="131"/>
      <c r="BX152" s="131"/>
      <c r="BY152" s="131"/>
      <c r="BZ152" s="131">
        <f t="shared" si="259"/>
        <v>0</v>
      </c>
      <c r="CA152" s="131"/>
      <c r="CB152" s="136">
        <f t="shared" si="212"/>
        <v>160.55836672570746</v>
      </c>
      <c r="CC152" s="131">
        <f t="shared" si="213"/>
        <v>0</v>
      </c>
      <c r="CD152" s="136">
        <f t="shared" si="214"/>
        <v>0</v>
      </c>
      <c r="CE152" s="131">
        <f t="shared" si="262"/>
        <v>0</v>
      </c>
      <c r="CF152" s="136">
        <f t="shared" si="215"/>
        <v>0</v>
      </c>
      <c r="CG152" s="136"/>
      <c r="CH152" s="136">
        <f t="shared" si="261"/>
        <v>0</v>
      </c>
      <c r="CI152" s="131">
        <f t="shared" si="216"/>
        <v>0</v>
      </c>
      <c r="CJ152" s="131"/>
      <c r="CK152" s="136">
        <f t="shared" si="217"/>
        <v>0</v>
      </c>
      <c r="CL152" s="136">
        <f t="shared" si="218"/>
        <v>804.25411383551102</v>
      </c>
      <c r="CM152" s="131">
        <f t="shared" si="219"/>
        <v>0</v>
      </c>
      <c r="CN152" s="136">
        <f t="shared" si="220"/>
        <v>0</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f t="shared" si="226"/>
        <v>0</v>
      </c>
      <c r="DC152" s="131">
        <f t="shared" si="185"/>
        <v>0</v>
      </c>
      <c r="DD152" s="131">
        <f t="shared" si="227"/>
        <v>0</v>
      </c>
      <c r="DE152" s="131">
        <f t="shared" si="228"/>
        <v>0</v>
      </c>
      <c r="DF152" s="131">
        <f t="shared" si="229"/>
        <v>0</v>
      </c>
      <c r="DG152" s="131">
        <f t="shared" si="230"/>
        <v>0</v>
      </c>
      <c r="DH152" s="131"/>
      <c r="DI152" s="131"/>
      <c r="DJ152" s="131"/>
      <c r="DK152" s="137">
        <f t="shared" si="260"/>
        <v>4620.5129979953599</v>
      </c>
      <c r="DL152" s="227" t="e">
        <f t="shared" si="231"/>
        <v>#REF!</v>
      </c>
      <c r="DM152" s="227" t="e">
        <f t="shared" si="232"/>
        <v>#REF!</v>
      </c>
      <c r="DN152" s="228" t="e">
        <f t="shared" si="186"/>
        <v>#REF!</v>
      </c>
      <c r="DO152" s="228">
        <f t="shared" si="233"/>
        <v>194.35242757490622</v>
      </c>
      <c r="DP152" s="228" t="e">
        <f t="shared" si="234"/>
        <v>#REF!</v>
      </c>
      <c r="DQ152" s="228" t="e">
        <f t="shared" si="235"/>
        <v>#REF!</v>
      </c>
    </row>
    <row r="153" spans="1:121">
      <c r="A153" s="132">
        <f t="shared" si="187"/>
        <v>143</v>
      </c>
      <c r="B153" s="18">
        <f t="shared" si="236"/>
        <v>143</v>
      </c>
      <c r="C153" s="18">
        <f>IF(A153=0," ",VLOOKUP(B153,'tosafot '!$A$7:$B$234,2,0))</f>
        <v>11.2019</v>
      </c>
      <c r="D153" s="220">
        <f t="shared" si="237"/>
        <v>228</v>
      </c>
      <c r="E153" s="130">
        <f t="shared" si="238"/>
        <v>12.2026</v>
      </c>
      <c r="F153" s="126">
        <f t="shared" si="239"/>
        <v>22</v>
      </c>
      <c r="G153" s="18" t="str">
        <f t="shared" si="240"/>
        <v>התחבורה</v>
      </c>
      <c r="H153" s="189">
        <f t="shared" si="241"/>
        <v>122</v>
      </c>
      <c r="I153" s="18">
        <f t="shared" si="242"/>
        <v>1</v>
      </c>
      <c r="J153" s="18" t="str">
        <f t="shared" si="243"/>
        <v>מינהלי - עובדי מדינה</v>
      </c>
      <c r="K153" s="189">
        <f t="shared" si="244"/>
        <v>1</v>
      </c>
      <c r="L153" s="18">
        <f t="shared" si="245"/>
        <v>12</v>
      </c>
      <c r="M153" s="129" t="str">
        <f t="shared" si="246"/>
        <v>17+</v>
      </c>
      <c r="N153" s="189"/>
      <c r="O153" s="132">
        <f t="shared" si="247"/>
        <v>1012</v>
      </c>
      <c r="P153" s="127">
        <f t="shared" si="248"/>
        <v>37</v>
      </c>
      <c r="Q153" s="127">
        <f t="shared" si="249"/>
        <v>36.75</v>
      </c>
      <c r="R153" s="128">
        <f t="shared" si="250"/>
        <v>148</v>
      </c>
      <c r="S153" s="130">
        <f t="shared" si="251"/>
        <v>1.4414995494685181</v>
      </c>
      <c r="T153" s="135">
        <f t="shared" si="188"/>
        <v>0</v>
      </c>
      <c r="U153" s="127">
        <f t="shared" si="189"/>
        <v>0</v>
      </c>
      <c r="V153" s="217">
        <v>0</v>
      </c>
      <c r="W153" s="191">
        <v>0</v>
      </c>
      <c r="X153" s="133">
        <v>0</v>
      </c>
      <c r="Y153" s="131">
        <f t="shared" si="190"/>
        <v>2438.5</v>
      </c>
      <c r="Z153" s="131">
        <f t="shared" si="191"/>
        <v>1076.5966513789815</v>
      </c>
      <c r="AA153" s="242">
        <f t="shared" si="192"/>
        <v>3515.0966513789817</v>
      </c>
      <c r="AB153" s="131">
        <f t="shared" si="193"/>
        <v>0</v>
      </c>
      <c r="AC153" s="131">
        <f t="shared" si="194"/>
        <v>140.60386605515927</v>
      </c>
      <c r="AD153" s="131">
        <f t="shared" si="195"/>
        <v>0</v>
      </c>
      <c r="AE153" s="131">
        <f t="shared" si="196"/>
        <v>0</v>
      </c>
      <c r="AF153" s="131">
        <f t="shared" si="197"/>
        <v>0</v>
      </c>
      <c r="AG153" s="131">
        <f t="shared" si="198"/>
        <v>0</v>
      </c>
      <c r="AH153" s="131">
        <f t="shared" si="199"/>
        <v>0</v>
      </c>
      <c r="AI153" s="131">
        <f t="shared" si="200"/>
        <v>0</v>
      </c>
      <c r="AJ153" s="131">
        <f t="shared" si="201"/>
        <v>0</v>
      </c>
      <c r="AK153" s="131"/>
      <c r="AL153" s="131">
        <f t="shared" si="202"/>
        <v>0</v>
      </c>
      <c r="AM153" s="131"/>
      <c r="AN153" s="243">
        <f t="shared" si="203"/>
        <v>0</v>
      </c>
      <c r="AO153" s="131">
        <f t="shared" si="204"/>
        <v>0</v>
      </c>
      <c r="AP153" s="131">
        <f t="shared" si="205"/>
        <v>0</v>
      </c>
      <c r="AQ153" s="131"/>
      <c r="AR153" s="131">
        <f t="shared" si="206"/>
        <v>0</v>
      </c>
      <c r="AS153" s="131">
        <f t="shared" si="252"/>
        <v>0</v>
      </c>
      <c r="AT153" s="131">
        <f t="shared" si="207"/>
        <v>0</v>
      </c>
      <c r="AU153" s="131">
        <f t="shared" si="208"/>
        <v>0</v>
      </c>
      <c r="AV153" s="131"/>
      <c r="AW153" s="131">
        <f t="shared" si="209"/>
        <v>0</v>
      </c>
      <c r="AX153" s="131">
        <f t="shared" si="263"/>
        <v>0</v>
      </c>
      <c r="AY153" s="131">
        <f t="shared" si="210"/>
        <v>0</v>
      </c>
      <c r="AZ153" s="131"/>
      <c r="BA153" s="131">
        <f t="shared" si="264"/>
        <v>0</v>
      </c>
      <c r="BB153" s="131"/>
      <c r="BC153" s="131"/>
      <c r="BD153" s="131">
        <f t="shared" si="211"/>
        <v>0</v>
      </c>
      <c r="BE153" s="131"/>
      <c r="BF153" s="131">
        <f t="shared" si="253"/>
        <v>0</v>
      </c>
      <c r="BG153" s="131">
        <f t="shared" si="254"/>
        <v>0</v>
      </c>
      <c r="BH153" s="131"/>
      <c r="BI153" s="131"/>
      <c r="BJ153" s="131"/>
      <c r="BK153" s="131">
        <f t="shared" si="255"/>
        <v>0</v>
      </c>
      <c r="BL153" s="131"/>
      <c r="BM153" s="131"/>
      <c r="BN153" s="131">
        <f t="shared" si="256"/>
        <v>0</v>
      </c>
      <c r="BO153" s="131"/>
      <c r="BP153" s="131">
        <f t="shared" si="257"/>
        <v>0</v>
      </c>
      <c r="BQ153" s="131"/>
      <c r="BR153" s="131"/>
      <c r="BS153" s="131"/>
      <c r="BT153" s="131"/>
      <c r="BU153" s="131"/>
      <c r="BV153" s="131">
        <f t="shared" si="258"/>
        <v>0</v>
      </c>
      <c r="BW153" s="131"/>
      <c r="BX153" s="131"/>
      <c r="BY153" s="131"/>
      <c r="BZ153" s="131">
        <f t="shared" si="259"/>
        <v>0</v>
      </c>
      <c r="CA153" s="131"/>
      <c r="CB153" s="136">
        <f t="shared" si="212"/>
        <v>160.55836672570746</v>
      </c>
      <c r="CC153" s="131">
        <f t="shared" si="213"/>
        <v>0</v>
      </c>
      <c r="CD153" s="136">
        <f t="shared" si="214"/>
        <v>0</v>
      </c>
      <c r="CE153" s="131">
        <f t="shared" si="262"/>
        <v>0</v>
      </c>
      <c r="CF153" s="136">
        <f t="shared" si="215"/>
        <v>0</v>
      </c>
      <c r="CG153" s="136"/>
      <c r="CH153" s="136">
        <f t="shared" si="261"/>
        <v>0</v>
      </c>
      <c r="CI153" s="131">
        <f t="shared" si="216"/>
        <v>0</v>
      </c>
      <c r="CJ153" s="131"/>
      <c r="CK153" s="136">
        <f t="shared" si="217"/>
        <v>0</v>
      </c>
      <c r="CL153" s="136">
        <f t="shared" si="218"/>
        <v>804.25411383551102</v>
      </c>
      <c r="CM153" s="131">
        <f t="shared" si="219"/>
        <v>0</v>
      </c>
      <c r="CN153" s="136">
        <f t="shared" si="220"/>
        <v>0</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f t="shared" si="226"/>
        <v>0</v>
      </c>
      <c r="DC153" s="131">
        <f t="shared" si="185"/>
        <v>0</v>
      </c>
      <c r="DD153" s="131">
        <f t="shared" si="227"/>
        <v>0</v>
      </c>
      <c r="DE153" s="131">
        <f t="shared" si="228"/>
        <v>0</v>
      </c>
      <c r="DF153" s="131">
        <f t="shared" si="229"/>
        <v>0</v>
      </c>
      <c r="DG153" s="131">
        <f t="shared" si="230"/>
        <v>0</v>
      </c>
      <c r="DH153" s="131"/>
      <c r="DI153" s="131"/>
      <c r="DJ153" s="131"/>
      <c r="DK153" s="137">
        <f t="shared" si="260"/>
        <v>4620.5129979953599</v>
      </c>
      <c r="DL153" s="227" t="e">
        <f t="shared" si="231"/>
        <v>#REF!</v>
      </c>
      <c r="DM153" s="227" t="e">
        <f t="shared" si="232"/>
        <v>#REF!</v>
      </c>
      <c r="DN153" s="228" t="e">
        <f t="shared" si="186"/>
        <v>#REF!</v>
      </c>
      <c r="DO153" s="228">
        <f t="shared" si="233"/>
        <v>194.35242757490622</v>
      </c>
      <c r="DP153" s="228" t="e">
        <f t="shared" si="234"/>
        <v>#REF!</v>
      </c>
      <c r="DQ153" s="228" t="e">
        <f t="shared" si="235"/>
        <v>#REF!</v>
      </c>
    </row>
    <row r="154" spans="1:121">
      <c r="A154" s="132">
        <f t="shared" si="187"/>
        <v>144</v>
      </c>
      <c r="B154" s="18">
        <f t="shared" si="236"/>
        <v>144</v>
      </c>
      <c r="C154" s="18">
        <f>IF(A154=0," ",VLOOKUP(B154,'tosafot '!$A$7:$B$234,2,0))</f>
        <v>12.2019</v>
      </c>
      <c r="D154" s="220">
        <f t="shared" si="237"/>
        <v>228</v>
      </c>
      <c r="E154" s="130">
        <f t="shared" si="238"/>
        <v>12.2026</v>
      </c>
      <c r="F154" s="126">
        <f t="shared" si="239"/>
        <v>22</v>
      </c>
      <c r="G154" s="18" t="str">
        <f t="shared" si="240"/>
        <v>התחבורה</v>
      </c>
      <c r="H154" s="189">
        <f t="shared" si="241"/>
        <v>122</v>
      </c>
      <c r="I154" s="18">
        <f t="shared" si="242"/>
        <v>1</v>
      </c>
      <c r="J154" s="18" t="str">
        <f t="shared" si="243"/>
        <v>מינהלי - עובדי מדינה</v>
      </c>
      <c r="K154" s="189">
        <f t="shared" si="244"/>
        <v>1</v>
      </c>
      <c r="L154" s="18">
        <f t="shared" si="245"/>
        <v>12</v>
      </c>
      <c r="M154" s="129" t="str">
        <f t="shared" si="246"/>
        <v>17+</v>
      </c>
      <c r="N154" s="189"/>
      <c r="O154" s="132">
        <f t="shared" si="247"/>
        <v>1012</v>
      </c>
      <c r="P154" s="127">
        <f t="shared" si="248"/>
        <v>37</v>
      </c>
      <c r="Q154" s="127">
        <f t="shared" si="249"/>
        <v>36.75</v>
      </c>
      <c r="R154" s="128">
        <f t="shared" si="250"/>
        <v>148</v>
      </c>
      <c r="S154" s="130">
        <f t="shared" si="251"/>
        <v>1.4414995494685181</v>
      </c>
      <c r="T154" s="135">
        <f t="shared" si="188"/>
        <v>0</v>
      </c>
      <c r="U154" s="127">
        <f t="shared" si="189"/>
        <v>0</v>
      </c>
      <c r="V154" s="217">
        <v>0</v>
      </c>
      <c r="W154" s="191">
        <v>0</v>
      </c>
      <c r="X154" s="133">
        <v>0</v>
      </c>
      <c r="Y154" s="131">
        <f t="shared" si="190"/>
        <v>2438.5</v>
      </c>
      <c r="Z154" s="131">
        <f t="shared" si="191"/>
        <v>1076.5966513789815</v>
      </c>
      <c r="AA154" s="242">
        <f t="shared" si="192"/>
        <v>3515.0966513789817</v>
      </c>
      <c r="AB154" s="131">
        <f t="shared" si="193"/>
        <v>0</v>
      </c>
      <c r="AC154" s="131">
        <f t="shared" si="194"/>
        <v>140.60386605515927</v>
      </c>
      <c r="AD154" s="131">
        <f t="shared" si="195"/>
        <v>0</v>
      </c>
      <c r="AE154" s="131">
        <f t="shared" si="196"/>
        <v>0</v>
      </c>
      <c r="AF154" s="131">
        <f t="shared" si="197"/>
        <v>0</v>
      </c>
      <c r="AG154" s="131">
        <f t="shared" si="198"/>
        <v>0</v>
      </c>
      <c r="AH154" s="131">
        <f t="shared" si="199"/>
        <v>0</v>
      </c>
      <c r="AI154" s="131">
        <f t="shared" si="200"/>
        <v>0</v>
      </c>
      <c r="AJ154" s="131">
        <f t="shared" si="201"/>
        <v>0</v>
      </c>
      <c r="AK154" s="131"/>
      <c r="AL154" s="131">
        <f t="shared" si="202"/>
        <v>0</v>
      </c>
      <c r="AM154" s="131"/>
      <c r="AN154" s="243">
        <f t="shared" si="203"/>
        <v>0</v>
      </c>
      <c r="AO154" s="131">
        <f t="shared" si="204"/>
        <v>0</v>
      </c>
      <c r="AP154" s="131">
        <f t="shared" si="205"/>
        <v>0</v>
      </c>
      <c r="AQ154" s="131"/>
      <c r="AR154" s="131">
        <f t="shared" si="206"/>
        <v>0</v>
      </c>
      <c r="AS154" s="131">
        <f t="shared" si="252"/>
        <v>0</v>
      </c>
      <c r="AT154" s="131">
        <f t="shared" si="207"/>
        <v>0</v>
      </c>
      <c r="AU154" s="131">
        <f t="shared" si="208"/>
        <v>0</v>
      </c>
      <c r="AV154" s="131"/>
      <c r="AW154" s="131">
        <f t="shared" si="209"/>
        <v>0</v>
      </c>
      <c r="AX154" s="131">
        <f t="shared" si="263"/>
        <v>0</v>
      </c>
      <c r="AY154" s="131">
        <f t="shared" si="210"/>
        <v>0</v>
      </c>
      <c r="AZ154" s="131"/>
      <c r="BA154" s="131">
        <f t="shared" si="264"/>
        <v>0</v>
      </c>
      <c r="BB154" s="131"/>
      <c r="BC154" s="131"/>
      <c r="BD154" s="131">
        <f t="shared" si="211"/>
        <v>0</v>
      </c>
      <c r="BE154" s="131"/>
      <c r="BF154" s="131">
        <f t="shared" si="253"/>
        <v>0</v>
      </c>
      <c r="BG154" s="131">
        <f t="shared" si="254"/>
        <v>0</v>
      </c>
      <c r="BH154" s="131"/>
      <c r="BI154" s="131"/>
      <c r="BJ154" s="131"/>
      <c r="BK154" s="131">
        <f t="shared" si="255"/>
        <v>0</v>
      </c>
      <c r="BL154" s="131"/>
      <c r="BM154" s="131"/>
      <c r="BN154" s="131">
        <f t="shared" si="256"/>
        <v>0</v>
      </c>
      <c r="BO154" s="131"/>
      <c r="BP154" s="131">
        <f t="shared" si="257"/>
        <v>0</v>
      </c>
      <c r="BQ154" s="131"/>
      <c r="BR154" s="131"/>
      <c r="BS154" s="131"/>
      <c r="BT154" s="131"/>
      <c r="BU154" s="131"/>
      <c r="BV154" s="131">
        <f t="shared" si="258"/>
        <v>0</v>
      </c>
      <c r="BW154" s="131"/>
      <c r="BX154" s="131"/>
      <c r="BY154" s="131"/>
      <c r="BZ154" s="131">
        <f t="shared" si="259"/>
        <v>0</v>
      </c>
      <c r="CA154" s="131"/>
      <c r="CB154" s="136">
        <f t="shared" si="212"/>
        <v>160.55836672570746</v>
      </c>
      <c r="CC154" s="131">
        <f t="shared" si="213"/>
        <v>0</v>
      </c>
      <c r="CD154" s="136">
        <f t="shared" si="214"/>
        <v>0</v>
      </c>
      <c r="CE154" s="131">
        <f t="shared" si="262"/>
        <v>0</v>
      </c>
      <c r="CF154" s="136">
        <f t="shared" si="215"/>
        <v>0</v>
      </c>
      <c r="CG154" s="136"/>
      <c r="CH154" s="136">
        <f t="shared" si="261"/>
        <v>0</v>
      </c>
      <c r="CI154" s="131">
        <f t="shared" si="216"/>
        <v>0</v>
      </c>
      <c r="CJ154" s="131"/>
      <c r="CK154" s="136">
        <f t="shared" si="217"/>
        <v>0</v>
      </c>
      <c r="CL154" s="136">
        <f t="shared" si="218"/>
        <v>804.25411383551102</v>
      </c>
      <c r="CM154" s="131">
        <f t="shared" si="219"/>
        <v>0</v>
      </c>
      <c r="CN154" s="136">
        <f t="shared" si="220"/>
        <v>0</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f t="shared" si="226"/>
        <v>0</v>
      </c>
      <c r="DC154" s="131">
        <f t="shared" si="185"/>
        <v>0</v>
      </c>
      <c r="DD154" s="131">
        <f t="shared" si="227"/>
        <v>0</v>
      </c>
      <c r="DE154" s="131">
        <f t="shared" si="228"/>
        <v>0</v>
      </c>
      <c r="DF154" s="131">
        <f t="shared" si="229"/>
        <v>0</v>
      </c>
      <c r="DG154" s="131">
        <f t="shared" si="230"/>
        <v>0</v>
      </c>
      <c r="DH154" s="131"/>
      <c r="DI154" s="131"/>
      <c r="DJ154" s="131"/>
      <c r="DK154" s="137">
        <f t="shared" si="260"/>
        <v>4620.5129979953599</v>
      </c>
      <c r="DL154" s="227" t="e">
        <f t="shared" si="231"/>
        <v>#REF!</v>
      </c>
      <c r="DM154" s="227" t="e">
        <f t="shared" si="232"/>
        <v>#REF!</v>
      </c>
      <c r="DN154" s="228" t="e">
        <f t="shared" si="186"/>
        <v>#REF!</v>
      </c>
      <c r="DO154" s="228">
        <f t="shared" si="233"/>
        <v>194.35242757490622</v>
      </c>
      <c r="DP154" s="228" t="e">
        <f t="shared" si="234"/>
        <v>#REF!</v>
      </c>
      <c r="DQ154" s="228" t="e">
        <f t="shared" si="235"/>
        <v>#REF!</v>
      </c>
    </row>
    <row r="155" spans="1:121">
      <c r="A155" s="132">
        <f t="shared" si="187"/>
        <v>145</v>
      </c>
      <c r="B155" s="18">
        <f t="shared" si="236"/>
        <v>145</v>
      </c>
      <c r="C155" s="18">
        <f>IF(A155=0," ",VLOOKUP(B155,'tosafot '!$A$7:$B$234,2,0))</f>
        <v>1.202</v>
      </c>
      <c r="D155" s="220">
        <f t="shared" si="237"/>
        <v>228</v>
      </c>
      <c r="E155" s="130">
        <f t="shared" si="238"/>
        <v>12.2026</v>
      </c>
      <c r="F155" s="126">
        <f t="shared" si="239"/>
        <v>22</v>
      </c>
      <c r="G155" s="18" t="str">
        <f t="shared" si="240"/>
        <v>התחבורה</v>
      </c>
      <c r="H155" s="189">
        <f t="shared" si="241"/>
        <v>122</v>
      </c>
      <c r="I155" s="18">
        <f t="shared" si="242"/>
        <v>1</v>
      </c>
      <c r="J155" s="18" t="str">
        <f t="shared" si="243"/>
        <v>מינהלי - עובדי מדינה</v>
      </c>
      <c r="K155" s="189">
        <f t="shared" si="244"/>
        <v>1</v>
      </c>
      <c r="L155" s="18">
        <f t="shared" si="245"/>
        <v>12</v>
      </c>
      <c r="M155" s="129" t="str">
        <f t="shared" si="246"/>
        <v>17+</v>
      </c>
      <c r="N155" s="189"/>
      <c r="O155" s="132">
        <f t="shared" si="247"/>
        <v>1012</v>
      </c>
      <c r="P155" s="127">
        <f t="shared" si="248"/>
        <v>37</v>
      </c>
      <c r="Q155" s="127">
        <f t="shared" si="249"/>
        <v>36.75</v>
      </c>
      <c r="R155" s="128">
        <f t="shared" si="250"/>
        <v>148</v>
      </c>
      <c r="S155" s="130">
        <f t="shared" si="251"/>
        <v>1.4414995494685181</v>
      </c>
      <c r="T155" s="135">
        <f t="shared" si="188"/>
        <v>0</v>
      </c>
      <c r="U155" s="127">
        <f t="shared" si="189"/>
        <v>0</v>
      </c>
      <c r="V155" s="217">
        <v>0</v>
      </c>
      <c r="W155" s="191">
        <v>0</v>
      </c>
      <c r="X155" s="133">
        <v>0</v>
      </c>
      <c r="Y155" s="131">
        <f t="shared" si="190"/>
        <v>2438.5</v>
      </c>
      <c r="Z155" s="131">
        <f t="shared" si="191"/>
        <v>1076.5966513789815</v>
      </c>
      <c r="AA155" s="242">
        <f t="shared" si="192"/>
        <v>3515.0966513789817</v>
      </c>
      <c r="AB155" s="131">
        <f t="shared" si="193"/>
        <v>0</v>
      </c>
      <c r="AC155" s="131">
        <f t="shared" si="194"/>
        <v>140.60386605515927</v>
      </c>
      <c r="AD155" s="131">
        <f t="shared" si="195"/>
        <v>0</v>
      </c>
      <c r="AE155" s="131">
        <f t="shared" si="196"/>
        <v>0</v>
      </c>
      <c r="AF155" s="131">
        <f t="shared" si="197"/>
        <v>0</v>
      </c>
      <c r="AG155" s="131">
        <f t="shared" si="198"/>
        <v>0</v>
      </c>
      <c r="AH155" s="131">
        <f t="shared" si="199"/>
        <v>0</v>
      </c>
      <c r="AI155" s="131">
        <f t="shared" si="200"/>
        <v>0</v>
      </c>
      <c r="AJ155" s="131">
        <f t="shared" si="201"/>
        <v>0</v>
      </c>
      <c r="AK155" s="131"/>
      <c r="AL155" s="131">
        <f t="shared" si="202"/>
        <v>0</v>
      </c>
      <c r="AM155" s="131"/>
      <c r="AN155" s="243">
        <f t="shared" si="203"/>
        <v>0</v>
      </c>
      <c r="AO155" s="131">
        <f t="shared" si="204"/>
        <v>0</v>
      </c>
      <c r="AP155" s="131">
        <f t="shared" si="205"/>
        <v>0</v>
      </c>
      <c r="AQ155" s="131"/>
      <c r="AR155" s="131">
        <f t="shared" si="206"/>
        <v>0</v>
      </c>
      <c r="AS155" s="131">
        <f t="shared" si="252"/>
        <v>0</v>
      </c>
      <c r="AT155" s="131">
        <f t="shared" si="207"/>
        <v>0</v>
      </c>
      <c r="AU155" s="131">
        <f t="shared" si="208"/>
        <v>0</v>
      </c>
      <c r="AV155" s="131"/>
      <c r="AW155" s="131">
        <f t="shared" si="209"/>
        <v>0</v>
      </c>
      <c r="AX155" s="131">
        <f t="shared" si="263"/>
        <v>0</v>
      </c>
      <c r="AY155" s="131">
        <f t="shared" si="210"/>
        <v>0</v>
      </c>
      <c r="AZ155" s="131"/>
      <c r="BA155" s="131">
        <f t="shared" si="264"/>
        <v>0</v>
      </c>
      <c r="BB155" s="131"/>
      <c r="BC155" s="131"/>
      <c r="BD155" s="131">
        <f t="shared" si="211"/>
        <v>0</v>
      </c>
      <c r="BE155" s="131"/>
      <c r="BF155" s="131">
        <f t="shared" si="253"/>
        <v>0</v>
      </c>
      <c r="BG155" s="131">
        <f t="shared" si="254"/>
        <v>0</v>
      </c>
      <c r="BH155" s="131"/>
      <c r="BI155" s="131"/>
      <c r="BJ155" s="131"/>
      <c r="BK155" s="131">
        <f t="shared" si="255"/>
        <v>0</v>
      </c>
      <c r="BL155" s="131"/>
      <c r="BM155" s="131"/>
      <c r="BN155" s="131">
        <f t="shared" si="256"/>
        <v>0</v>
      </c>
      <c r="BO155" s="131"/>
      <c r="BP155" s="131">
        <f t="shared" si="257"/>
        <v>0</v>
      </c>
      <c r="BQ155" s="131"/>
      <c r="BR155" s="131"/>
      <c r="BS155" s="131"/>
      <c r="BT155" s="131"/>
      <c r="BU155" s="131"/>
      <c r="BV155" s="131">
        <f t="shared" si="258"/>
        <v>0</v>
      </c>
      <c r="BW155" s="131"/>
      <c r="BX155" s="131"/>
      <c r="BY155" s="131"/>
      <c r="BZ155" s="131">
        <f t="shared" si="259"/>
        <v>0</v>
      </c>
      <c r="CA155" s="131"/>
      <c r="CB155" s="136">
        <f t="shared" si="212"/>
        <v>160.55836672570746</v>
      </c>
      <c r="CC155" s="131">
        <f t="shared" si="213"/>
        <v>0</v>
      </c>
      <c r="CD155" s="136">
        <f t="shared" si="214"/>
        <v>0</v>
      </c>
      <c r="CE155" s="131">
        <f t="shared" si="262"/>
        <v>0</v>
      </c>
      <c r="CF155" s="136">
        <f t="shared" si="215"/>
        <v>0</v>
      </c>
      <c r="CG155" s="136"/>
      <c r="CH155" s="136">
        <f t="shared" si="261"/>
        <v>0</v>
      </c>
      <c r="CI155" s="131">
        <f t="shared" si="216"/>
        <v>0</v>
      </c>
      <c r="CJ155" s="131"/>
      <c r="CK155" s="136">
        <f t="shared" si="217"/>
        <v>0</v>
      </c>
      <c r="CL155" s="136">
        <f t="shared" si="218"/>
        <v>804.25411383551102</v>
      </c>
      <c r="CM155" s="131">
        <f t="shared" si="219"/>
        <v>0</v>
      </c>
      <c r="CN155" s="136">
        <f t="shared" si="220"/>
        <v>0</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f t="shared" si="226"/>
        <v>0</v>
      </c>
      <c r="DC155" s="131">
        <f t="shared" si="185"/>
        <v>0</v>
      </c>
      <c r="DD155" s="131">
        <f t="shared" si="227"/>
        <v>0</v>
      </c>
      <c r="DE155" s="131">
        <f t="shared" si="228"/>
        <v>0</v>
      </c>
      <c r="DF155" s="131">
        <f t="shared" si="229"/>
        <v>0</v>
      </c>
      <c r="DG155" s="131">
        <f t="shared" si="230"/>
        <v>0</v>
      </c>
      <c r="DH155" s="131"/>
      <c r="DI155" s="131"/>
      <c r="DJ155" s="131"/>
      <c r="DK155" s="137">
        <f t="shared" si="260"/>
        <v>4620.5129979953599</v>
      </c>
      <c r="DL155" s="227" t="e">
        <f t="shared" si="231"/>
        <v>#REF!</v>
      </c>
      <c r="DM155" s="227" t="e">
        <f t="shared" si="232"/>
        <v>#REF!</v>
      </c>
      <c r="DN155" s="228" t="e">
        <f t="shared" si="186"/>
        <v>#REF!</v>
      </c>
      <c r="DO155" s="228">
        <f t="shared" si="233"/>
        <v>194.35242757490622</v>
      </c>
      <c r="DP155" s="228" t="e">
        <f t="shared" si="234"/>
        <v>#REF!</v>
      </c>
      <c r="DQ155" s="228" t="e">
        <f t="shared" si="235"/>
        <v>#REF!</v>
      </c>
    </row>
    <row r="156" spans="1:121">
      <c r="A156" s="132">
        <f t="shared" si="187"/>
        <v>146</v>
      </c>
      <c r="B156" s="18">
        <f t="shared" si="236"/>
        <v>146</v>
      </c>
      <c r="C156" s="18">
        <f>IF(A156=0," ",VLOOKUP(B156,'tosafot '!$A$7:$B$234,2,0))</f>
        <v>2.202</v>
      </c>
      <c r="D156" s="220">
        <f t="shared" si="237"/>
        <v>228</v>
      </c>
      <c r="E156" s="130">
        <f t="shared" si="238"/>
        <v>12.2026</v>
      </c>
      <c r="F156" s="126">
        <f t="shared" si="239"/>
        <v>22</v>
      </c>
      <c r="G156" s="18" t="str">
        <f t="shared" si="240"/>
        <v>התחבורה</v>
      </c>
      <c r="H156" s="189">
        <f t="shared" si="241"/>
        <v>122</v>
      </c>
      <c r="I156" s="18">
        <f t="shared" si="242"/>
        <v>1</v>
      </c>
      <c r="J156" s="18" t="str">
        <f t="shared" si="243"/>
        <v>מינהלי - עובדי מדינה</v>
      </c>
      <c r="K156" s="189">
        <f t="shared" si="244"/>
        <v>1</v>
      </c>
      <c r="L156" s="18">
        <f t="shared" si="245"/>
        <v>12</v>
      </c>
      <c r="M156" s="129" t="str">
        <f t="shared" si="246"/>
        <v>17+</v>
      </c>
      <c r="N156" s="189"/>
      <c r="O156" s="132">
        <f t="shared" si="247"/>
        <v>1012</v>
      </c>
      <c r="P156" s="127">
        <f t="shared" si="248"/>
        <v>37</v>
      </c>
      <c r="Q156" s="127">
        <f t="shared" si="249"/>
        <v>36.75</v>
      </c>
      <c r="R156" s="128">
        <f t="shared" si="250"/>
        <v>148</v>
      </c>
      <c r="S156" s="130">
        <f t="shared" si="251"/>
        <v>1.4414995494685181</v>
      </c>
      <c r="T156" s="135">
        <f t="shared" si="188"/>
        <v>0</v>
      </c>
      <c r="U156" s="127">
        <f t="shared" si="189"/>
        <v>0</v>
      </c>
      <c r="V156" s="217">
        <v>0</v>
      </c>
      <c r="W156" s="191">
        <v>0</v>
      </c>
      <c r="X156" s="133">
        <v>0</v>
      </c>
      <c r="Y156" s="131">
        <f t="shared" si="190"/>
        <v>2438.5</v>
      </c>
      <c r="Z156" s="131">
        <f t="shared" si="191"/>
        <v>1076.5966513789815</v>
      </c>
      <c r="AA156" s="242">
        <f t="shared" si="192"/>
        <v>3515.0966513789817</v>
      </c>
      <c r="AB156" s="131">
        <f t="shared" si="193"/>
        <v>0</v>
      </c>
      <c r="AC156" s="131">
        <f t="shared" si="194"/>
        <v>140.60386605515927</v>
      </c>
      <c r="AD156" s="131">
        <f t="shared" si="195"/>
        <v>0</v>
      </c>
      <c r="AE156" s="131">
        <f t="shared" si="196"/>
        <v>0</v>
      </c>
      <c r="AF156" s="131">
        <f t="shared" si="197"/>
        <v>0</v>
      </c>
      <c r="AG156" s="131">
        <f t="shared" si="198"/>
        <v>0</v>
      </c>
      <c r="AH156" s="131">
        <f t="shared" si="199"/>
        <v>0</v>
      </c>
      <c r="AI156" s="131">
        <f t="shared" si="200"/>
        <v>0</v>
      </c>
      <c r="AJ156" s="131">
        <f t="shared" si="201"/>
        <v>0</v>
      </c>
      <c r="AK156" s="131"/>
      <c r="AL156" s="131">
        <f t="shared" si="202"/>
        <v>0</v>
      </c>
      <c r="AM156" s="131"/>
      <c r="AN156" s="243">
        <f t="shared" si="203"/>
        <v>0</v>
      </c>
      <c r="AO156" s="131">
        <f t="shared" si="204"/>
        <v>0</v>
      </c>
      <c r="AP156" s="131">
        <f t="shared" si="205"/>
        <v>0</v>
      </c>
      <c r="AQ156" s="131"/>
      <c r="AR156" s="131">
        <f t="shared" si="206"/>
        <v>0</v>
      </c>
      <c r="AS156" s="131">
        <f t="shared" si="252"/>
        <v>0</v>
      </c>
      <c r="AT156" s="131">
        <f t="shared" si="207"/>
        <v>0</v>
      </c>
      <c r="AU156" s="131">
        <f t="shared" si="208"/>
        <v>0</v>
      </c>
      <c r="AV156" s="131"/>
      <c r="AW156" s="131">
        <f t="shared" si="209"/>
        <v>0</v>
      </c>
      <c r="AX156" s="131">
        <f t="shared" si="263"/>
        <v>0</v>
      </c>
      <c r="AY156" s="131">
        <f t="shared" si="210"/>
        <v>0</v>
      </c>
      <c r="AZ156" s="131"/>
      <c r="BA156" s="131">
        <f t="shared" si="264"/>
        <v>0</v>
      </c>
      <c r="BB156" s="131"/>
      <c r="BC156" s="131"/>
      <c r="BD156" s="131">
        <f t="shared" si="211"/>
        <v>0</v>
      </c>
      <c r="BE156" s="131"/>
      <c r="BF156" s="131">
        <f t="shared" si="253"/>
        <v>0</v>
      </c>
      <c r="BG156" s="131">
        <f t="shared" si="254"/>
        <v>0</v>
      </c>
      <c r="BH156" s="131"/>
      <c r="BI156" s="131"/>
      <c r="BJ156" s="131"/>
      <c r="BK156" s="131">
        <f t="shared" si="255"/>
        <v>0</v>
      </c>
      <c r="BL156" s="131"/>
      <c r="BM156" s="131"/>
      <c r="BN156" s="131">
        <f t="shared" si="256"/>
        <v>0</v>
      </c>
      <c r="BO156" s="131"/>
      <c r="BP156" s="131">
        <f t="shared" si="257"/>
        <v>0</v>
      </c>
      <c r="BQ156" s="131"/>
      <c r="BR156" s="131"/>
      <c r="BS156" s="131"/>
      <c r="BT156" s="131"/>
      <c r="BU156" s="131"/>
      <c r="BV156" s="131">
        <f t="shared" si="258"/>
        <v>0</v>
      </c>
      <c r="BW156" s="131"/>
      <c r="BX156" s="131"/>
      <c r="BY156" s="131"/>
      <c r="BZ156" s="131">
        <f t="shared" si="259"/>
        <v>0</v>
      </c>
      <c r="CA156" s="131"/>
      <c r="CB156" s="136">
        <f t="shared" si="212"/>
        <v>160.55836672570746</v>
      </c>
      <c r="CC156" s="131">
        <f t="shared" si="213"/>
        <v>0</v>
      </c>
      <c r="CD156" s="136">
        <f t="shared" si="214"/>
        <v>0</v>
      </c>
      <c r="CE156" s="131">
        <f t="shared" si="262"/>
        <v>0</v>
      </c>
      <c r="CF156" s="136">
        <f t="shared" si="215"/>
        <v>0</v>
      </c>
      <c r="CG156" s="136"/>
      <c r="CH156" s="136">
        <f t="shared" si="261"/>
        <v>0</v>
      </c>
      <c r="CI156" s="131">
        <f t="shared" si="216"/>
        <v>0</v>
      </c>
      <c r="CJ156" s="131"/>
      <c r="CK156" s="136">
        <f t="shared" si="217"/>
        <v>0</v>
      </c>
      <c r="CL156" s="136">
        <f t="shared" si="218"/>
        <v>804.25411383551102</v>
      </c>
      <c r="CM156" s="131">
        <f t="shared" si="219"/>
        <v>0</v>
      </c>
      <c r="CN156" s="136">
        <f t="shared" si="220"/>
        <v>0</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f t="shared" si="226"/>
        <v>0</v>
      </c>
      <c r="DC156" s="131">
        <f t="shared" si="185"/>
        <v>0</v>
      </c>
      <c r="DD156" s="131">
        <f t="shared" si="227"/>
        <v>0</v>
      </c>
      <c r="DE156" s="131">
        <f t="shared" si="228"/>
        <v>0</v>
      </c>
      <c r="DF156" s="131">
        <f t="shared" si="229"/>
        <v>0</v>
      </c>
      <c r="DG156" s="131">
        <f t="shared" si="230"/>
        <v>0</v>
      </c>
      <c r="DH156" s="131"/>
      <c r="DI156" s="131"/>
      <c r="DJ156" s="131"/>
      <c r="DK156" s="137">
        <f t="shared" si="260"/>
        <v>4620.5129979953599</v>
      </c>
      <c r="DL156" s="227" t="e">
        <f t="shared" si="231"/>
        <v>#REF!</v>
      </c>
      <c r="DM156" s="227" t="e">
        <f t="shared" si="232"/>
        <v>#REF!</v>
      </c>
      <c r="DN156" s="228" t="e">
        <f t="shared" si="186"/>
        <v>#REF!</v>
      </c>
      <c r="DO156" s="228">
        <f t="shared" si="233"/>
        <v>194.35242757490622</v>
      </c>
      <c r="DP156" s="228" t="e">
        <f t="shared" si="234"/>
        <v>#REF!</v>
      </c>
      <c r="DQ156" s="228" t="e">
        <f t="shared" si="235"/>
        <v>#REF!</v>
      </c>
    </row>
    <row r="157" spans="1:121">
      <c r="A157" s="132">
        <f t="shared" si="187"/>
        <v>147</v>
      </c>
      <c r="B157" s="18">
        <f t="shared" si="236"/>
        <v>147</v>
      </c>
      <c r="C157" s="18">
        <f>IF(A157=0," ",VLOOKUP(B157,'tosafot '!$A$7:$B$234,2,0))</f>
        <v>3.202</v>
      </c>
      <c r="D157" s="220">
        <f t="shared" si="237"/>
        <v>228</v>
      </c>
      <c r="E157" s="130">
        <f t="shared" si="238"/>
        <v>12.2026</v>
      </c>
      <c r="F157" s="126">
        <f t="shared" si="239"/>
        <v>22</v>
      </c>
      <c r="G157" s="18" t="str">
        <f t="shared" si="240"/>
        <v>התחבורה</v>
      </c>
      <c r="H157" s="189">
        <f t="shared" si="241"/>
        <v>122</v>
      </c>
      <c r="I157" s="18">
        <f t="shared" si="242"/>
        <v>1</v>
      </c>
      <c r="J157" s="18" t="str">
        <f t="shared" si="243"/>
        <v>מינהלי - עובדי מדינה</v>
      </c>
      <c r="K157" s="189">
        <f t="shared" si="244"/>
        <v>1</v>
      </c>
      <c r="L157" s="18">
        <f t="shared" si="245"/>
        <v>12</v>
      </c>
      <c r="M157" s="129" t="str">
        <f t="shared" si="246"/>
        <v>17+</v>
      </c>
      <c r="N157" s="189"/>
      <c r="O157" s="132">
        <f t="shared" si="247"/>
        <v>1012</v>
      </c>
      <c r="P157" s="127">
        <f t="shared" si="248"/>
        <v>37</v>
      </c>
      <c r="Q157" s="127">
        <f t="shared" si="249"/>
        <v>36.75</v>
      </c>
      <c r="R157" s="128">
        <f t="shared" si="250"/>
        <v>148</v>
      </c>
      <c r="S157" s="130">
        <f t="shared" si="251"/>
        <v>1.4414995494685181</v>
      </c>
      <c r="T157" s="135">
        <f t="shared" si="188"/>
        <v>0</v>
      </c>
      <c r="U157" s="127">
        <f t="shared" si="189"/>
        <v>0</v>
      </c>
      <c r="V157" s="217">
        <v>0</v>
      </c>
      <c r="W157" s="191">
        <v>0</v>
      </c>
      <c r="X157" s="133">
        <v>0</v>
      </c>
      <c r="Y157" s="131">
        <f t="shared" si="190"/>
        <v>2438.5</v>
      </c>
      <c r="Z157" s="131">
        <f t="shared" si="191"/>
        <v>1076.5966513789815</v>
      </c>
      <c r="AA157" s="242">
        <f t="shared" si="192"/>
        <v>3515.0966513789817</v>
      </c>
      <c r="AB157" s="131">
        <f t="shared" si="193"/>
        <v>0</v>
      </c>
      <c r="AC157" s="131">
        <f t="shared" si="194"/>
        <v>140.60386605515927</v>
      </c>
      <c r="AD157" s="131">
        <f t="shared" si="195"/>
        <v>0</v>
      </c>
      <c r="AE157" s="131">
        <f t="shared" si="196"/>
        <v>0</v>
      </c>
      <c r="AF157" s="131">
        <f t="shared" si="197"/>
        <v>0</v>
      </c>
      <c r="AG157" s="131">
        <f t="shared" si="198"/>
        <v>0</v>
      </c>
      <c r="AH157" s="131">
        <f t="shared" si="199"/>
        <v>0</v>
      </c>
      <c r="AI157" s="131">
        <f t="shared" si="200"/>
        <v>0</v>
      </c>
      <c r="AJ157" s="131">
        <f t="shared" si="201"/>
        <v>0</v>
      </c>
      <c r="AK157" s="131"/>
      <c r="AL157" s="131">
        <f t="shared" si="202"/>
        <v>0</v>
      </c>
      <c r="AM157" s="131"/>
      <c r="AN157" s="243">
        <f t="shared" si="203"/>
        <v>0</v>
      </c>
      <c r="AO157" s="131">
        <f t="shared" si="204"/>
        <v>0</v>
      </c>
      <c r="AP157" s="131">
        <f t="shared" si="205"/>
        <v>0</v>
      </c>
      <c r="AQ157" s="131"/>
      <c r="AR157" s="131">
        <f t="shared" si="206"/>
        <v>0</v>
      </c>
      <c r="AS157" s="131">
        <f t="shared" si="252"/>
        <v>0</v>
      </c>
      <c r="AT157" s="131">
        <f t="shared" si="207"/>
        <v>0</v>
      </c>
      <c r="AU157" s="131">
        <f t="shared" si="208"/>
        <v>0</v>
      </c>
      <c r="AV157" s="131"/>
      <c r="AW157" s="131">
        <f t="shared" si="209"/>
        <v>0</v>
      </c>
      <c r="AX157" s="131">
        <f t="shared" si="263"/>
        <v>0</v>
      </c>
      <c r="AY157" s="131">
        <f t="shared" si="210"/>
        <v>0</v>
      </c>
      <c r="AZ157" s="131"/>
      <c r="BA157" s="131">
        <f t="shared" si="264"/>
        <v>0</v>
      </c>
      <c r="BB157" s="131"/>
      <c r="BC157" s="131"/>
      <c r="BD157" s="131">
        <f t="shared" si="211"/>
        <v>0</v>
      </c>
      <c r="BE157" s="131"/>
      <c r="BF157" s="131">
        <f t="shared" si="253"/>
        <v>0</v>
      </c>
      <c r="BG157" s="131">
        <f t="shared" si="254"/>
        <v>0</v>
      </c>
      <c r="BH157" s="131"/>
      <c r="BI157" s="131"/>
      <c r="BJ157" s="131"/>
      <c r="BK157" s="131">
        <f t="shared" si="255"/>
        <v>0</v>
      </c>
      <c r="BL157" s="131"/>
      <c r="BM157" s="131"/>
      <c r="BN157" s="131">
        <f t="shared" si="256"/>
        <v>0</v>
      </c>
      <c r="BO157" s="131"/>
      <c r="BP157" s="131">
        <f t="shared" si="257"/>
        <v>0</v>
      </c>
      <c r="BQ157" s="131"/>
      <c r="BR157" s="131"/>
      <c r="BS157" s="131"/>
      <c r="BT157" s="131"/>
      <c r="BU157" s="131"/>
      <c r="BV157" s="131">
        <f t="shared" si="258"/>
        <v>0</v>
      </c>
      <c r="BW157" s="131"/>
      <c r="BX157" s="131"/>
      <c r="BY157" s="131"/>
      <c r="BZ157" s="131">
        <f t="shared" si="259"/>
        <v>0</v>
      </c>
      <c r="CA157" s="131"/>
      <c r="CB157" s="136">
        <f t="shared" si="212"/>
        <v>160.55836672570746</v>
      </c>
      <c r="CC157" s="131">
        <f t="shared" si="213"/>
        <v>0</v>
      </c>
      <c r="CD157" s="136">
        <f t="shared" si="214"/>
        <v>0</v>
      </c>
      <c r="CE157" s="131">
        <f t="shared" si="262"/>
        <v>0</v>
      </c>
      <c r="CF157" s="136">
        <f t="shared" si="215"/>
        <v>0</v>
      </c>
      <c r="CG157" s="136"/>
      <c r="CH157" s="136">
        <f t="shared" si="261"/>
        <v>0</v>
      </c>
      <c r="CI157" s="131">
        <f t="shared" si="216"/>
        <v>0</v>
      </c>
      <c r="CJ157" s="131"/>
      <c r="CK157" s="136">
        <f t="shared" si="217"/>
        <v>0</v>
      </c>
      <c r="CL157" s="136">
        <f t="shared" si="218"/>
        <v>804.25411383551102</v>
      </c>
      <c r="CM157" s="131">
        <f t="shared" si="219"/>
        <v>0</v>
      </c>
      <c r="CN157" s="136">
        <f t="shared" si="220"/>
        <v>0</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f t="shared" si="226"/>
        <v>0</v>
      </c>
      <c r="DC157" s="131">
        <f t="shared" si="185"/>
        <v>0</v>
      </c>
      <c r="DD157" s="131">
        <f t="shared" si="227"/>
        <v>0</v>
      </c>
      <c r="DE157" s="131">
        <f t="shared" si="228"/>
        <v>0</v>
      </c>
      <c r="DF157" s="131">
        <f t="shared" si="229"/>
        <v>0</v>
      </c>
      <c r="DG157" s="131">
        <f t="shared" si="230"/>
        <v>0</v>
      </c>
      <c r="DH157" s="131"/>
      <c r="DI157" s="131"/>
      <c r="DJ157" s="131"/>
      <c r="DK157" s="137">
        <f t="shared" si="260"/>
        <v>4620.5129979953599</v>
      </c>
      <c r="DL157" s="227" t="e">
        <f t="shared" si="231"/>
        <v>#REF!</v>
      </c>
      <c r="DM157" s="227" t="e">
        <f t="shared" si="232"/>
        <v>#REF!</v>
      </c>
      <c r="DN157" s="228" t="e">
        <f t="shared" si="186"/>
        <v>#REF!</v>
      </c>
      <c r="DO157" s="228">
        <f t="shared" si="233"/>
        <v>194.35242757490622</v>
      </c>
      <c r="DP157" s="228" t="e">
        <f t="shared" si="234"/>
        <v>#REF!</v>
      </c>
      <c r="DQ157" s="228" t="e">
        <f t="shared" si="235"/>
        <v>#REF!</v>
      </c>
    </row>
    <row r="158" spans="1:121">
      <c r="A158" s="132">
        <f t="shared" si="187"/>
        <v>148</v>
      </c>
      <c r="B158" s="18">
        <f t="shared" si="236"/>
        <v>148</v>
      </c>
      <c r="C158" s="18">
        <f>IF(A158=0," ",VLOOKUP(B158,'tosafot '!$A$7:$B$234,2,0))</f>
        <v>4.202</v>
      </c>
      <c r="D158" s="220">
        <f t="shared" si="237"/>
        <v>228</v>
      </c>
      <c r="E158" s="130">
        <f t="shared" si="238"/>
        <v>12.2026</v>
      </c>
      <c r="F158" s="126">
        <f t="shared" si="239"/>
        <v>22</v>
      </c>
      <c r="G158" s="18" t="str">
        <f t="shared" si="240"/>
        <v>התחבורה</v>
      </c>
      <c r="H158" s="189">
        <f t="shared" si="241"/>
        <v>122</v>
      </c>
      <c r="I158" s="18">
        <f t="shared" si="242"/>
        <v>1</v>
      </c>
      <c r="J158" s="18" t="str">
        <f t="shared" si="243"/>
        <v>מינהלי - עובדי מדינה</v>
      </c>
      <c r="K158" s="189">
        <f t="shared" si="244"/>
        <v>1</v>
      </c>
      <c r="L158" s="18">
        <f t="shared" si="245"/>
        <v>12</v>
      </c>
      <c r="M158" s="129" t="str">
        <f t="shared" si="246"/>
        <v>17+</v>
      </c>
      <c r="N158" s="189"/>
      <c r="O158" s="132">
        <f t="shared" si="247"/>
        <v>1012</v>
      </c>
      <c r="P158" s="127">
        <f t="shared" si="248"/>
        <v>37</v>
      </c>
      <c r="Q158" s="127">
        <f t="shared" si="249"/>
        <v>36.75</v>
      </c>
      <c r="R158" s="128">
        <f t="shared" si="250"/>
        <v>148</v>
      </c>
      <c r="S158" s="130">
        <f t="shared" si="251"/>
        <v>1.4414995494685181</v>
      </c>
      <c r="T158" s="135">
        <f t="shared" si="188"/>
        <v>0</v>
      </c>
      <c r="U158" s="127">
        <f t="shared" si="189"/>
        <v>0</v>
      </c>
      <c r="V158" s="217">
        <v>0</v>
      </c>
      <c r="W158" s="191">
        <v>0</v>
      </c>
      <c r="X158" s="133">
        <v>0</v>
      </c>
      <c r="Y158" s="131">
        <f t="shared" si="190"/>
        <v>2438.5</v>
      </c>
      <c r="Z158" s="131">
        <f t="shared" si="191"/>
        <v>1076.5966513789815</v>
      </c>
      <c r="AA158" s="242">
        <f t="shared" si="192"/>
        <v>3515.0966513789817</v>
      </c>
      <c r="AB158" s="131">
        <f t="shared" si="193"/>
        <v>0</v>
      </c>
      <c r="AC158" s="131">
        <f t="shared" si="194"/>
        <v>140.60386605515927</v>
      </c>
      <c r="AD158" s="131">
        <f t="shared" si="195"/>
        <v>0</v>
      </c>
      <c r="AE158" s="131">
        <f t="shared" si="196"/>
        <v>0</v>
      </c>
      <c r="AF158" s="131">
        <f t="shared" si="197"/>
        <v>0</v>
      </c>
      <c r="AG158" s="131">
        <f t="shared" si="198"/>
        <v>0</v>
      </c>
      <c r="AH158" s="131">
        <f t="shared" si="199"/>
        <v>0</v>
      </c>
      <c r="AI158" s="131">
        <f t="shared" si="200"/>
        <v>0</v>
      </c>
      <c r="AJ158" s="131">
        <f t="shared" si="201"/>
        <v>0</v>
      </c>
      <c r="AK158" s="131"/>
      <c r="AL158" s="131">
        <f t="shared" si="202"/>
        <v>0</v>
      </c>
      <c r="AM158" s="131"/>
      <c r="AN158" s="243">
        <f t="shared" si="203"/>
        <v>0</v>
      </c>
      <c r="AO158" s="131">
        <f t="shared" si="204"/>
        <v>0</v>
      </c>
      <c r="AP158" s="131">
        <f t="shared" si="205"/>
        <v>0</v>
      </c>
      <c r="AQ158" s="131"/>
      <c r="AR158" s="131">
        <f t="shared" si="206"/>
        <v>0</v>
      </c>
      <c r="AS158" s="131">
        <f t="shared" si="252"/>
        <v>0</v>
      </c>
      <c r="AT158" s="131">
        <f t="shared" si="207"/>
        <v>0</v>
      </c>
      <c r="AU158" s="131">
        <f t="shared" si="208"/>
        <v>0</v>
      </c>
      <c r="AV158" s="131"/>
      <c r="AW158" s="131">
        <f t="shared" si="209"/>
        <v>0</v>
      </c>
      <c r="AX158" s="131">
        <f t="shared" si="263"/>
        <v>0</v>
      </c>
      <c r="AY158" s="131">
        <f t="shared" si="210"/>
        <v>0</v>
      </c>
      <c r="AZ158" s="131"/>
      <c r="BA158" s="131">
        <f t="shared" si="264"/>
        <v>0</v>
      </c>
      <c r="BB158" s="131"/>
      <c r="BC158" s="131"/>
      <c r="BD158" s="131">
        <f t="shared" si="211"/>
        <v>0</v>
      </c>
      <c r="BE158" s="131"/>
      <c r="BF158" s="131">
        <f t="shared" si="253"/>
        <v>0</v>
      </c>
      <c r="BG158" s="131">
        <f t="shared" si="254"/>
        <v>0</v>
      </c>
      <c r="BH158" s="131"/>
      <c r="BI158" s="131"/>
      <c r="BJ158" s="131"/>
      <c r="BK158" s="131">
        <f t="shared" si="255"/>
        <v>0</v>
      </c>
      <c r="BL158" s="131"/>
      <c r="BM158" s="131"/>
      <c r="BN158" s="131">
        <f t="shared" si="256"/>
        <v>0</v>
      </c>
      <c r="BO158" s="131"/>
      <c r="BP158" s="131">
        <f t="shared" si="257"/>
        <v>0</v>
      </c>
      <c r="BQ158" s="131"/>
      <c r="BR158" s="131"/>
      <c r="BS158" s="131"/>
      <c r="BT158" s="131"/>
      <c r="BU158" s="131"/>
      <c r="BV158" s="131">
        <f t="shared" si="258"/>
        <v>0</v>
      </c>
      <c r="BW158" s="131"/>
      <c r="BX158" s="131"/>
      <c r="BY158" s="131"/>
      <c r="BZ158" s="131">
        <f t="shared" si="259"/>
        <v>0</v>
      </c>
      <c r="CA158" s="131"/>
      <c r="CB158" s="136">
        <f t="shared" si="212"/>
        <v>160.55836672570746</v>
      </c>
      <c r="CC158" s="131">
        <f t="shared" si="213"/>
        <v>0</v>
      </c>
      <c r="CD158" s="136">
        <f t="shared" si="214"/>
        <v>0</v>
      </c>
      <c r="CE158" s="131">
        <f t="shared" si="262"/>
        <v>0</v>
      </c>
      <c r="CF158" s="136">
        <f t="shared" si="215"/>
        <v>0</v>
      </c>
      <c r="CG158" s="136"/>
      <c r="CH158" s="136">
        <f t="shared" si="261"/>
        <v>0</v>
      </c>
      <c r="CI158" s="131">
        <f t="shared" si="216"/>
        <v>0</v>
      </c>
      <c r="CJ158" s="131"/>
      <c r="CK158" s="136">
        <f t="shared" si="217"/>
        <v>0</v>
      </c>
      <c r="CL158" s="136">
        <f t="shared" si="218"/>
        <v>804.25411383551102</v>
      </c>
      <c r="CM158" s="131">
        <f t="shared" si="219"/>
        <v>0</v>
      </c>
      <c r="CN158" s="136">
        <f t="shared" si="220"/>
        <v>0</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f t="shared" si="226"/>
        <v>0</v>
      </c>
      <c r="DC158" s="131">
        <f t="shared" si="185"/>
        <v>0</v>
      </c>
      <c r="DD158" s="131">
        <f t="shared" si="227"/>
        <v>0</v>
      </c>
      <c r="DE158" s="131">
        <f t="shared" si="228"/>
        <v>0</v>
      </c>
      <c r="DF158" s="131">
        <f t="shared" si="229"/>
        <v>0</v>
      </c>
      <c r="DG158" s="131">
        <f t="shared" si="230"/>
        <v>0</v>
      </c>
      <c r="DH158" s="131"/>
      <c r="DI158" s="131"/>
      <c r="DJ158" s="131"/>
      <c r="DK158" s="137">
        <f t="shared" si="260"/>
        <v>4620.5129979953599</v>
      </c>
      <c r="DL158" s="227" t="e">
        <f t="shared" si="231"/>
        <v>#REF!</v>
      </c>
      <c r="DM158" s="227" t="e">
        <f t="shared" si="232"/>
        <v>#REF!</v>
      </c>
      <c r="DN158" s="228" t="e">
        <f t="shared" si="186"/>
        <v>#REF!</v>
      </c>
      <c r="DO158" s="228">
        <f t="shared" si="233"/>
        <v>194.35242757490622</v>
      </c>
      <c r="DP158" s="228" t="e">
        <f t="shared" si="234"/>
        <v>#REF!</v>
      </c>
      <c r="DQ158" s="228" t="e">
        <f t="shared" si="235"/>
        <v>#REF!</v>
      </c>
    </row>
    <row r="159" spans="1:121">
      <c r="A159" s="132">
        <f t="shared" si="187"/>
        <v>149</v>
      </c>
      <c r="B159" s="18">
        <f t="shared" si="236"/>
        <v>149</v>
      </c>
      <c r="C159" s="18">
        <f>IF(A159=0," ",VLOOKUP(B159,'tosafot '!$A$7:$B$234,2,0))</f>
        <v>5.202</v>
      </c>
      <c r="D159" s="220">
        <f t="shared" si="237"/>
        <v>228</v>
      </c>
      <c r="E159" s="130">
        <f t="shared" si="238"/>
        <v>12.2026</v>
      </c>
      <c r="F159" s="126">
        <f t="shared" si="239"/>
        <v>22</v>
      </c>
      <c r="G159" s="18" t="str">
        <f t="shared" si="240"/>
        <v>התחבורה</v>
      </c>
      <c r="H159" s="189">
        <f t="shared" si="241"/>
        <v>122</v>
      </c>
      <c r="I159" s="18">
        <f t="shared" si="242"/>
        <v>1</v>
      </c>
      <c r="J159" s="18" t="str">
        <f t="shared" si="243"/>
        <v>מינהלי - עובדי מדינה</v>
      </c>
      <c r="K159" s="189">
        <f t="shared" si="244"/>
        <v>1</v>
      </c>
      <c r="L159" s="18">
        <f t="shared" si="245"/>
        <v>12</v>
      </c>
      <c r="M159" s="129" t="str">
        <f t="shared" si="246"/>
        <v>17+</v>
      </c>
      <c r="N159" s="189"/>
      <c r="O159" s="132">
        <f t="shared" si="247"/>
        <v>1012</v>
      </c>
      <c r="P159" s="127">
        <f t="shared" si="248"/>
        <v>37</v>
      </c>
      <c r="Q159" s="127">
        <f t="shared" si="249"/>
        <v>36.75</v>
      </c>
      <c r="R159" s="128">
        <f t="shared" si="250"/>
        <v>148</v>
      </c>
      <c r="S159" s="130">
        <f t="shared" si="251"/>
        <v>1.4414995494685181</v>
      </c>
      <c r="T159" s="135">
        <f t="shared" si="188"/>
        <v>0</v>
      </c>
      <c r="U159" s="127">
        <f t="shared" si="189"/>
        <v>0</v>
      </c>
      <c r="V159" s="217">
        <v>0</v>
      </c>
      <c r="W159" s="191">
        <v>0</v>
      </c>
      <c r="X159" s="133">
        <v>0</v>
      </c>
      <c r="Y159" s="131">
        <f t="shared" si="190"/>
        <v>2438.5</v>
      </c>
      <c r="Z159" s="131">
        <f t="shared" si="191"/>
        <v>1076.5966513789815</v>
      </c>
      <c r="AA159" s="242">
        <f t="shared" si="192"/>
        <v>3515.0966513789817</v>
      </c>
      <c r="AB159" s="131">
        <f t="shared" si="193"/>
        <v>0</v>
      </c>
      <c r="AC159" s="131">
        <f t="shared" si="194"/>
        <v>140.60386605515927</v>
      </c>
      <c r="AD159" s="131">
        <f t="shared" si="195"/>
        <v>0</v>
      </c>
      <c r="AE159" s="131">
        <f t="shared" si="196"/>
        <v>0</v>
      </c>
      <c r="AF159" s="131">
        <f t="shared" si="197"/>
        <v>0</v>
      </c>
      <c r="AG159" s="131">
        <f t="shared" si="198"/>
        <v>0</v>
      </c>
      <c r="AH159" s="131">
        <f t="shared" si="199"/>
        <v>0</v>
      </c>
      <c r="AI159" s="131">
        <f t="shared" si="200"/>
        <v>0</v>
      </c>
      <c r="AJ159" s="131">
        <f t="shared" si="201"/>
        <v>0</v>
      </c>
      <c r="AK159" s="131"/>
      <c r="AL159" s="131">
        <f t="shared" si="202"/>
        <v>0</v>
      </c>
      <c r="AM159" s="131"/>
      <c r="AN159" s="243">
        <f t="shared" si="203"/>
        <v>0</v>
      </c>
      <c r="AO159" s="131">
        <f t="shared" si="204"/>
        <v>0</v>
      </c>
      <c r="AP159" s="131">
        <f t="shared" si="205"/>
        <v>0</v>
      </c>
      <c r="AQ159" s="131"/>
      <c r="AR159" s="131">
        <f t="shared" si="206"/>
        <v>0</v>
      </c>
      <c r="AS159" s="131">
        <f t="shared" si="252"/>
        <v>0</v>
      </c>
      <c r="AT159" s="131">
        <f t="shared" si="207"/>
        <v>0</v>
      </c>
      <c r="AU159" s="131">
        <f t="shared" si="208"/>
        <v>0</v>
      </c>
      <c r="AV159" s="131"/>
      <c r="AW159" s="131">
        <f t="shared" si="209"/>
        <v>0</v>
      </c>
      <c r="AX159" s="131">
        <f t="shared" si="263"/>
        <v>0</v>
      </c>
      <c r="AY159" s="131">
        <f t="shared" si="210"/>
        <v>0</v>
      </c>
      <c r="AZ159" s="131"/>
      <c r="BA159" s="131">
        <f t="shared" si="264"/>
        <v>0</v>
      </c>
      <c r="BB159" s="131"/>
      <c r="BC159" s="131"/>
      <c r="BD159" s="131">
        <f t="shared" si="211"/>
        <v>0</v>
      </c>
      <c r="BE159" s="131"/>
      <c r="BF159" s="131">
        <f t="shared" si="253"/>
        <v>0</v>
      </c>
      <c r="BG159" s="131">
        <f t="shared" si="254"/>
        <v>0</v>
      </c>
      <c r="BH159" s="131"/>
      <c r="BI159" s="131"/>
      <c r="BJ159" s="131"/>
      <c r="BK159" s="131">
        <f t="shared" si="255"/>
        <v>0</v>
      </c>
      <c r="BL159" s="131"/>
      <c r="BM159" s="131"/>
      <c r="BN159" s="131">
        <f t="shared" si="256"/>
        <v>0</v>
      </c>
      <c r="BO159" s="131"/>
      <c r="BP159" s="131">
        <f t="shared" si="257"/>
        <v>0</v>
      </c>
      <c r="BQ159" s="131"/>
      <c r="BR159" s="131"/>
      <c r="BS159" s="131"/>
      <c r="BT159" s="131"/>
      <c r="BU159" s="131"/>
      <c r="BV159" s="131">
        <f t="shared" si="258"/>
        <v>0</v>
      </c>
      <c r="BW159" s="131"/>
      <c r="BX159" s="131"/>
      <c r="BY159" s="131"/>
      <c r="BZ159" s="131">
        <f t="shared" si="259"/>
        <v>0</v>
      </c>
      <c r="CA159" s="131"/>
      <c r="CB159" s="136">
        <f t="shared" si="212"/>
        <v>160.55836672570746</v>
      </c>
      <c r="CC159" s="131">
        <f t="shared" si="213"/>
        <v>0</v>
      </c>
      <c r="CD159" s="136">
        <f t="shared" si="214"/>
        <v>0</v>
      </c>
      <c r="CE159" s="131">
        <f t="shared" si="262"/>
        <v>0</v>
      </c>
      <c r="CF159" s="136">
        <f t="shared" si="215"/>
        <v>0</v>
      </c>
      <c r="CG159" s="136"/>
      <c r="CH159" s="136">
        <f t="shared" si="261"/>
        <v>0</v>
      </c>
      <c r="CI159" s="131">
        <f t="shared" si="216"/>
        <v>0</v>
      </c>
      <c r="CJ159" s="131"/>
      <c r="CK159" s="136">
        <f t="shared" si="217"/>
        <v>0</v>
      </c>
      <c r="CL159" s="136">
        <f t="shared" si="218"/>
        <v>804.25411383551102</v>
      </c>
      <c r="CM159" s="131">
        <f t="shared" si="219"/>
        <v>0</v>
      </c>
      <c r="CN159" s="136">
        <f t="shared" si="220"/>
        <v>0</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f t="shared" si="226"/>
        <v>0</v>
      </c>
      <c r="DC159" s="131">
        <f t="shared" si="185"/>
        <v>0</v>
      </c>
      <c r="DD159" s="131">
        <f t="shared" si="227"/>
        <v>0</v>
      </c>
      <c r="DE159" s="131">
        <f t="shared" si="228"/>
        <v>0</v>
      </c>
      <c r="DF159" s="131">
        <f t="shared" si="229"/>
        <v>0</v>
      </c>
      <c r="DG159" s="131">
        <f t="shared" si="230"/>
        <v>0</v>
      </c>
      <c r="DH159" s="131"/>
      <c r="DI159" s="131"/>
      <c r="DJ159" s="131"/>
      <c r="DK159" s="137">
        <f t="shared" si="260"/>
        <v>4620.5129979953599</v>
      </c>
      <c r="DL159" s="227" t="e">
        <f t="shared" si="231"/>
        <v>#REF!</v>
      </c>
      <c r="DM159" s="227" t="e">
        <f t="shared" si="232"/>
        <v>#REF!</v>
      </c>
      <c r="DN159" s="228" t="e">
        <f t="shared" si="186"/>
        <v>#REF!</v>
      </c>
      <c r="DO159" s="228">
        <f t="shared" si="233"/>
        <v>194.35242757490622</v>
      </c>
      <c r="DP159" s="228" t="e">
        <f t="shared" si="234"/>
        <v>#REF!</v>
      </c>
      <c r="DQ159" s="228" t="e">
        <f t="shared" si="235"/>
        <v>#REF!</v>
      </c>
    </row>
    <row r="160" spans="1:121">
      <c r="A160" s="132">
        <f t="shared" si="187"/>
        <v>150</v>
      </c>
      <c r="B160" s="18">
        <f t="shared" si="236"/>
        <v>150</v>
      </c>
      <c r="C160" s="18">
        <f>IF(A160=0," ",VLOOKUP(B160,'tosafot '!$A$7:$B$234,2,0))</f>
        <v>6.202</v>
      </c>
      <c r="D160" s="220">
        <f t="shared" si="237"/>
        <v>228</v>
      </c>
      <c r="E160" s="130">
        <f t="shared" si="238"/>
        <v>12.2026</v>
      </c>
      <c r="F160" s="126">
        <f t="shared" si="239"/>
        <v>22</v>
      </c>
      <c r="G160" s="18" t="str">
        <f t="shared" si="240"/>
        <v>התחבורה</v>
      </c>
      <c r="H160" s="189">
        <f t="shared" si="241"/>
        <v>122</v>
      </c>
      <c r="I160" s="18">
        <f t="shared" si="242"/>
        <v>1</v>
      </c>
      <c r="J160" s="18" t="str">
        <f t="shared" si="243"/>
        <v>מינהלי - עובדי מדינה</v>
      </c>
      <c r="K160" s="189">
        <f t="shared" si="244"/>
        <v>1</v>
      </c>
      <c r="L160" s="18">
        <f t="shared" si="245"/>
        <v>12</v>
      </c>
      <c r="M160" s="129" t="str">
        <f t="shared" si="246"/>
        <v>17+</v>
      </c>
      <c r="N160" s="189"/>
      <c r="O160" s="132">
        <f t="shared" si="247"/>
        <v>1012</v>
      </c>
      <c r="P160" s="127">
        <f t="shared" si="248"/>
        <v>37</v>
      </c>
      <c r="Q160" s="127">
        <f t="shared" si="249"/>
        <v>36.75</v>
      </c>
      <c r="R160" s="128">
        <f t="shared" si="250"/>
        <v>148</v>
      </c>
      <c r="S160" s="130">
        <f t="shared" si="251"/>
        <v>1.4414995494685181</v>
      </c>
      <c r="T160" s="135">
        <f t="shared" si="188"/>
        <v>0</v>
      </c>
      <c r="U160" s="127">
        <f t="shared" si="189"/>
        <v>0</v>
      </c>
      <c r="V160" s="217">
        <v>0</v>
      </c>
      <c r="W160" s="191">
        <v>0</v>
      </c>
      <c r="X160" s="133">
        <v>0</v>
      </c>
      <c r="Y160" s="131">
        <f t="shared" si="190"/>
        <v>2438.5</v>
      </c>
      <c r="Z160" s="131">
        <f t="shared" si="191"/>
        <v>1076.5966513789815</v>
      </c>
      <c r="AA160" s="242">
        <f t="shared" si="192"/>
        <v>3515.0966513789817</v>
      </c>
      <c r="AB160" s="131">
        <f t="shared" si="193"/>
        <v>0</v>
      </c>
      <c r="AC160" s="131">
        <f t="shared" si="194"/>
        <v>140.60386605515927</v>
      </c>
      <c r="AD160" s="131">
        <f t="shared" si="195"/>
        <v>0</v>
      </c>
      <c r="AE160" s="131">
        <f t="shared" si="196"/>
        <v>0</v>
      </c>
      <c r="AF160" s="131">
        <f t="shared" si="197"/>
        <v>0</v>
      </c>
      <c r="AG160" s="131">
        <f t="shared" si="198"/>
        <v>0</v>
      </c>
      <c r="AH160" s="131">
        <f t="shared" si="199"/>
        <v>0</v>
      </c>
      <c r="AI160" s="131">
        <f t="shared" si="200"/>
        <v>0</v>
      </c>
      <c r="AJ160" s="131">
        <f t="shared" si="201"/>
        <v>0</v>
      </c>
      <c r="AK160" s="131"/>
      <c r="AL160" s="131">
        <f t="shared" si="202"/>
        <v>0</v>
      </c>
      <c r="AM160" s="131"/>
      <c r="AN160" s="243">
        <f t="shared" si="203"/>
        <v>0</v>
      </c>
      <c r="AO160" s="131">
        <f t="shared" si="204"/>
        <v>0</v>
      </c>
      <c r="AP160" s="131">
        <f t="shared" si="205"/>
        <v>0</v>
      </c>
      <c r="AQ160" s="131"/>
      <c r="AR160" s="131">
        <f t="shared" si="206"/>
        <v>0</v>
      </c>
      <c r="AS160" s="131">
        <f t="shared" si="252"/>
        <v>0</v>
      </c>
      <c r="AT160" s="131">
        <f t="shared" si="207"/>
        <v>0</v>
      </c>
      <c r="AU160" s="131">
        <f t="shared" si="208"/>
        <v>0</v>
      </c>
      <c r="AV160" s="131"/>
      <c r="AW160" s="131">
        <f t="shared" si="209"/>
        <v>0</v>
      </c>
      <c r="AX160" s="131">
        <f t="shared" si="263"/>
        <v>0</v>
      </c>
      <c r="AY160" s="131">
        <f t="shared" si="210"/>
        <v>0</v>
      </c>
      <c r="AZ160" s="131"/>
      <c r="BA160" s="131">
        <f t="shared" si="264"/>
        <v>0</v>
      </c>
      <c r="BB160" s="131"/>
      <c r="BC160" s="131"/>
      <c r="BD160" s="131">
        <f t="shared" si="211"/>
        <v>0</v>
      </c>
      <c r="BE160" s="131"/>
      <c r="BF160" s="131">
        <f t="shared" si="253"/>
        <v>0</v>
      </c>
      <c r="BG160" s="131">
        <f t="shared" si="254"/>
        <v>0</v>
      </c>
      <c r="BH160" s="131"/>
      <c r="BI160" s="131"/>
      <c r="BJ160" s="131"/>
      <c r="BK160" s="131">
        <f t="shared" si="255"/>
        <v>0</v>
      </c>
      <c r="BL160" s="131"/>
      <c r="BM160" s="131"/>
      <c r="BN160" s="131">
        <f t="shared" si="256"/>
        <v>0</v>
      </c>
      <c r="BO160" s="131"/>
      <c r="BP160" s="131">
        <f t="shared" si="257"/>
        <v>0</v>
      </c>
      <c r="BQ160" s="131"/>
      <c r="BR160" s="131"/>
      <c r="BS160" s="131"/>
      <c r="BT160" s="131"/>
      <c r="BU160" s="131"/>
      <c r="BV160" s="131">
        <f t="shared" si="258"/>
        <v>0</v>
      </c>
      <c r="BW160" s="131"/>
      <c r="BX160" s="131"/>
      <c r="BY160" s="131"/>
      <c r="BZ160" s="131">
        <f t="shared" si="259"/>
        <v>0</v>
      </c>
      <c r="CA160" s="131"/>
      <c r="CB160" s="136">
        <f t="shared" si="212"/>
        <v>160.55836672570746</v>
      </c>
      <c r="CC160" s="131">
        <f t="shared" si="213"/>
        <v>0</v>
      </c>
      <c r="CD160" s="136">
        <f t="shared" si="214"/>
        <v>0</v>
      </c>
      <c r="CE160" s="131">
        <f t="shared" si="262"/>
        <v>0</v>
      </c>
      <c r="CF160" s="136">
        <f t="shared" si="215"/>
        <v>0</v>
      </c>
      <c r="CG160" s="136"/>
      <c r="CH160" s="136">
        <f t="shared" si="261"/>
        <v>0</v>
      </c>
      <c r="CI160" s="131">
        <f t="shared" si="216"/>
        <v>0</v>
      </c>
      <c r="CJ160" s="131"/>
      <c r="CK160" s="136">
        <f t="shared" si="217"/>
        <v>0</v>
      </c>
      <c r="CL160" s="136">
        <f t="shared" si="218"/>
        <v>804.25411383551102</v>
      </c>
      <c r="CM160" s="131">
        <f t="shared" si="219"/>
        <v>0</v>
      </c>
      <c r="CN160" s="136">
        <f t="shared" si="220"/>
        <v>0</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f t="shared" si="226"/>
        <v>0</v>
      </c>
      <c r="DC160" s="131">
        <f t="shared" si="185"/>
        <v>0</v>
      </c>
      <c r="DD160" s="131">
        <f t="shared" si="227"/>
        <v>0</v>
      </c>
      <c r="DE160" s="131">
        <f t="shared" si="228"/>
        <v>0</v>
      </c>
      <c r="DF160" s="131">
        <f t="shared" si="229"/>
        <v>0</v>
      </c>
      <c r="DG160" s="131">
        <f t="shared" si="230"/>
        <v>0</v>
      </c>
      <c r="DH160" s="131"/>
      <c r="DI160" s="131"/>
      <c r="DJ160" s="131"/>
      <c r="DK160" s="137">
        <f t="shared" si="260"/>
        <v>4620.5129979953599</v>
      </c>
      <c r="DL160" s="227" t="e">
        <f t="shared" si="231"/>
        <v>#REF!</v>
      </c>
      <c r="DM160" s="227" t="e">
        <f t="shared" si="232"/>
        <v>#REF!</v>
      </c>
      <c r="DN160" s="228" t="e">
        <f t="shared" si="186"/>
        <v>#REF!</v>
      </c>
      <c r="DO160" s="228">
        <f t="shared" si="233"/>
        <v>194.35242757490622</v>
      </c>
      <c r="DP160" s="228" t="e">
        <f t="shared" si="234"/>
        <v>#REF!</v>
      </c>
      <c r="DQ160" s="228" t="e">
        <f t="shared" si="235"/>
        <v>#REF!</v>
      </c>
    </row>
    <row r="161" spans="1:121">
      <c r="A161" s="132">
        <f t="shared" si="187"/>
        <v>151</v>
      </c>
      <c r="B161" s="18">
        <f t="shared" si="236"/>
        <v>151</v>
      </c>
      <c r="C161" s="18">
        <f>IF(A161=0," ",VLOOKUP(B161,'tosafot '!$A$7:$B$234,2,0))</f>
        <v>7.202</v>
      </c>
      <c r="D161" s="220">
        <f t="shared" si="237"/>
        <v>228</v>
      </c>
      <c r="E161" s="130">
        <f t="shared" si="238"/>
        <v>12.2026</v>
      </c>
      <c r="F161" s="126">
        <f t="shared" si="239"/>
        <v>22</v>
      </c>
      <c r="G161" s="18" t="str">
        <f t="shared" si="240"/>
        <v>התחבורה</v>
      </c>
      <c r="H161" s="189">
        <f t="shared" si="241"/>
        <v>122</v>
      </c>
      <c r="I161" s="18">
        <f t="shared" si="242"/>
        <v>1</v>
      </c>
      <c r="J161" s="18" t="str">
        <f t="shared" si="243"/>
        <v>מינהלי - עובדי מדינה</v>
      </c>
      <c r="K161" s="189">
        <f t="shared" si="244"/>
        <v>1</v>
      </c>
      <c r="L161" s="18">
        <f t="shared" si="245"/>
        <v>12</v>
      </c>
      <c r="M161" s="129" t="str">
        <f t="shared" si="246"/>
        <v>17+</v>
      </c>
      <c r="N161" s="189"/>
      <c r="O161" s="132">
        <f t="shared" si="247"/>
        <v>1012</v>
      </c>
      <c r="P161" s="127">
        <f t="shared" si="248"/>
        <v>37</v>
      </c>
      <c r="Q161" s="127">
        <f t="shared" si="249"/>
        <v>36.75</v>
      </c>
      <c r="R161" s="128">
        <f t="shared" si="250"/>
        <v>148</v>
      </c>
      <c r="S161" s="130">
        <f t="shared" si="251"/>
        <v>1.4414995494685181</v>
      </c>
      <c r="T161" s="135">
        <f t="shared" si="188"/>
        <v>0</v>
      </c>
      <c r="U161" s="127">
        <f t="shared" si="189"/>
        <v>0</v>
      </c>
      <c r="V161" s="217">
        <v>0</v>
      </c>
      <c r="W161" s="191">
        <v>0</v>
      </c>
      <c r="X161" s="133">
        <v>0</v>
      </c>
      <c r="Y161" s="131">
        <f t="shared" si="190"/>
        <v>2438.5</v>
      </c>
      <c r="Z161" s="131">
        <f t="shared" si="191"/>
        <v>1076.5966513789815</v>
      </c>
      <c r="AA161" s="242">
        <f t="shared" si="192"/>
        <v>3515.0966513789817</v>
      </c>
      <c r="AB161" s="131">
        <f t="shared" si="193"/>
        <v>0</v>
      </c>
      <c r="AC161" s="131">
        <f t="shared" si="194"/>
        <v>140.60386605515927</v>
      </c>
      <c r="AD161" s="131">
        <f t="shared" si="195"/>
        <v>0</v>
      </c>
      <c r="AE161" s="131">
        <f t="shared" si="196"/>
        <v>0</v>
      </c>
      <c r="AF161" s="131">
        <f t="shared" si="197"/>
        <v>0</v>
      </c>
      <c r="AG161" s="131">
        <f t="shared" si="198"/>
        <v>0</v>
      </c>
      <c r="AH161" s="131">
        <f t="shared" si="199"/>
        <v>0</v>
      </c>
      <c r="AI161" s="131">
        <f t="shared" si="200"/>
        <v>0</v>
      </c>
      <c r="AJ161" s="131">
        <f t="shared" si="201"/>
        <v>0</v>
      </c>
      <c r="AK161" s="131"/>
      <c r="AL161" s="131">
        <f t="shared" si="202"/>
        <v>0</v>
      </c>
      <c r="AM161" s="131"/>
      <c r="AN161" s="243">
        <f t="shared" si="203"/>
        <v>0</v>
      </c>
      <c r="AO161" s="131">
        <f t="shared" si="204"/>
        <v>0</v>
      </c>
      <c r="AP161" s="131">
        <f t="shared" si="205"/>
        <v>0</v>
      </c>
      <c r="AQ161" s="131"/>
      <c r="AR161" s="131">
        <f t="shared" si="206"/>
        <v>0</v>
      </c>
      <c r="AS161" s="131">
        <f t="shared" si="252"/>
        <v>0</v>
      </c>
      <c r="AT161" s="131">
        <f t="shared" si="207"/>
        <v>0</v>
      </c>
      <c r="AU161" s="131">
        <f t="shared" si="208"/>
        <v>0</v>
      </c>
      <c r="AV161" s="131"/>
      <c r="AW161" s="131">
        <f t="shared" si="209"/>
        <v>0</v>
      </c>
      <c r="AX161" s="131">
        <f t="shared" si="263"/>
        <v>0</v>
      </c>
      <c r="AY161" s="131">
        <f t="shared" si="210"/>
        <v>0</v>
      </c>
      <c r="AZ161" s="131"/>
      <c r="BA161" s="131">
        <f t="shared" si="264"/>
        <v>0</v>
      </c>
      <c r="BB161" s="131"/>
      <c r="BC161" s="131"/>
      <c r="BD161" s="131">
        <f t="shared" si="211"/>
        <v>0</v>
      </c>
      <c r="BE161" s="131"/>
      <c r="BF161" s="131">
        <f t="shared" si="253"/>
        <v>0</v>
      </c>
      <c r="BG161" s="131">
        <f t="shared" si="254"/>
        <v>0</v>
      </c>
      <c r="BH161" s="131"/>
      <c r="BI161" s="131"/>
      <c r="BJ161" s="131"/>
      <c r="BK161" s="131">
        <f t="shared" si="255"/>
        <v>0</v>
      </c>
      <c r="BL161" s="131"/>
      <c r="BM161" s="131"/>
      <c r="BN161" s="131">
        <f t="shared" si="256"/>
        <v>0</v>
      </c>
      <c r="BO161" s="131"/>
      <c r="BP161" s="131">
        <f t="shared" si="257"/>
        <v>0</v>
      </c>
      <c r="BQ161" s="131"/>
      <c r="BR161" s="131"/>
      <c r="BS161" s="131"/>
      <c r="BT161" s="131"/>
      <c r="BU161" s="131"/>
      <c r="BV161" s="131">
        <f t="shared" si="258"/>
        <v>0</v>
      </c>
      <c r="BW161" s="131"/>
      <c r="BX161" s="131"/>
      <c r="BY161" s="131"/>
      <c r="BZ161" s="131">
        <f t="shared" si="259"/>
        <v>0</v>
      </c>
      <c r="CA161" s="131"/>
      <c r="CB161" s="136">
        <f t="shared" si="212"/>
        <v>160.55836672570746</v>
      </c>
      <c r="CC161" s="131">
        <f t="shared" si="213"/>
        <v>0</v>
      </c>
      <c r="CD161" s="136">
        <f t="shared" si="214"/>
        <v>0</v>
      </c>
      <c r="CE161" s="131">
        <f t="shared" si="262"/>
        <v>0</v>
      </c>
      <c r="CF161" s="136">
        <f t="shared" si="215"/>
        <v>0</v>
      </c>
      <c r="CG161" s="136"/>
      <c r="CH161" s="136">
        <f t="shared" si="261"/>
        <v>0</v>
      </c>
      <c r="CI161" s="131">
        <f t="shared" si="216"/>
        <v>0</v>
      </c>
      <c r="CJ161" s="131"/>
      <c r="CK161" s="136">
        <f t="shared" si="217"/>
        <v>0</v>
      </c>
      <c r="CL161" s="136">
        <f t="shared" si="218"/>
        <v>804.25411383551102</v>
      </c>
      <c r="CM161" s="131">
        <f t="shared" si="219"/>
        <v>0</v>
      </c>
      <c r="CN161" s="136">
        <f t="shared" si="220"/>
        <v>0</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f t="shared" si="226"/>
        <v>0</v>
      </c>
      <c r="DC161" s="131">
        <f t="shared" si="185"/>
        <v>0</v>
      </c>
      <c r="DD161" s="131">
        <f t="shared" si="227"/>
        <v>0</v>
      </c>
      <c r="DE161" s="131">
        <f t="shared" si="228"/>
        <v>0</v>
      </c>
      <c r="DF161" s="131">
        <f t="shared" si="229"/>
        <v>0</v>
      </c>
      <c r="DG161" s="131">
        <f t="shared" si="230"/>
        <v>0</v>
      </c>
      <c r="DH161" s="131"/>
      <c r="DI161" s="131"/>
      <c r="DJ161" s="131"/>
      <c r="DK161" s="137">
        <f t="shared" si="260"/>
        <v>4620.5129979953599</v>
      </c>
      <c r="DL161" s="227" t="e">
        <f t="shared" si="231"/>
        <v>#REF!</v>
      </c>
      <c r="DM161" s="227" t="e">
        <f t="shared" si="232"/>
        <v>#REF!</v>
      </c>
      <c r="DN161" s="228" t="e">
        <f t="shared" si="186"/>
        <v>#REF!</v>
      </c>
      <c r="DO161" s="228">
        <f t="shared" si="233"/>
        <v>194.35242757490622</v>
      </c>
      <c r="DP161" s="228" t="e">
        <f t="shared" si="234"/>
        <v>#REF!</v>
      </c>
      <c r="DQ161" s="228" t="e">
        <f t="shared" si="235"/>
        <v>#REF!</v>
      </c>
    </row>
    <row r="162" spans="1:121">
      <c r="A162" s="132">
        <f>IF(A161=0,0,IF(B161+1&gt;$D$9,0,A161+1))</f>
        <v>152</v>
      </c>
      <c r="B162" s="18">
        <f t="shared" si="236"/>
        <v>152</v>
      </c>
      <c r="C162" s="18">
        <f>IF(A162=0," ",VLOOKUP(B162,'tosafot '!$A$7:$B$234,2,0))</f>
        <v>8.202</v>
      </c>
      <c r="D162" s="220">
        <f t="shared" si="237"/>
        <v>228</v>
      </c>
      <c r="E162" s="130">
        <f t="shared" si="238"/>
        <v>12.2026</v>
      </c>
      <c r="F162" s="126">
        <f t="shared" si="239"/>
        <v>22</v>
      </c>
      <c r="G162" s="18" t="str">
        <f t="shared" si="240"/>
        <v>התחבורה</v>
      </c>
      <c r="H162" s="189">
        <f t="shared" si="241"/>
        <v>122</v>
      </c>
      <c r="I162" s="18">
        <f t="shared" si="242"/>
        <v>1</v>
      </c>
      <c r="J162" s="18" t="str">
        <f t="shared" si="243"/>
        <v>מינהלי - עובדי מדינה</v>
      </c>
      <c r="K162" s="189">
        <f t="shared" si="244"/>
        <v>1</v>
      </c>
      <c r="L162" s="18">
        <f t="shared" si="245"/>
        <v>12</v>
      </c>
      <c r="M162" s="129" t="str">
        <f t="shared" si="246"/>
        <v>17+</v>
      </c>
      <c r="N162" s="189"/>
      <c r="O162" s="132">
        <f t="shared" si="247"/>
        <v>1012</v>
      </c>
      <c r="P162" s="127">
        <f t="shared" si="248"/>
        <v>37</v>
      </c>
      <c r="Q162" s="127">
        <f t="shared" si="249"/>
        <v>36.75</v>
      </c>
      <c r="R162" s="128">
        <f t="shared" si="250"/>
        <v>148</v>
      </c>
      <c r="S162" s="130">
        <f t="shared" si="251"/>
        <v>1.4414995494685181</v>
      </c>
      <c r="T162" s="135">
        <f t="shared" si="188"/>
        <v>0</v>
      </c>
      <c r="U162" s="127">
        <f t="shared" si="189"/>
        <v>0</v>
      </c>
      <c r="V162" s="217">
        <v>0</v>
      </c>
      <c r="W162" s="191">
        <v>0</v>
      </c>
      <c r="X162" s="133">
        <v>0</v>
      </c>
      <c r="Y162" s="131">
        <f t="shared" si="190"/>
        <v>2438.5</v>
      </c>
      <c r="Z162" s="131">
        <f t="shared" si="191"/>
        <v>1076.5966513789815</v>
      </c>
      <c r="AA162" s="242">
        <f t="shared" si="192"/>
        <v>3515.0966513789817</v>
      </c>
      <c r="AB162" s="131">
        <f t="shared" si="193"/>
        <v>0</v>
      </c>
      <c r="AC162" s="131">
        <f t="shared" si="194"/>
        <v>140.60386605515927</v>
      </c>
      <c r="AD162" s="131">
        <f t="shared" si="195"/>
        <v>0</v>
      </c>
      <c r="AE162" s="131">
        <f t="shared" si="196"/>
        <v>0</v>
      </c>
      <c r="AF162" s="131">
        <f t="shared" si="197"/>
        <v>0</v>
      </c>
      <c r="AG162" s="131">
        <f t="shared" si="198"/>
        <v>0</v>
      </c>
      <c r="AH162" s="131">
        <f t="shared" si="199"/>
        <v>0</v>
      </c>
      <c r="AI162" s="131">
        <f t="shared" si="200"/>
        <v>0</v>
      </c>
      <c r="AJ162" s="131">
        <f t="shared" si="201"/>
        <v>0</v>
      </c>
      <c r="AK162" s="131"/>
      <c r="AL162" s="131">
        <f t="shared" si="202"/>
        <v>0</v>
      </c>
      <c r="AM162" s="131"/>
      <c r="AN162" s="243">
        <f t="shared" si="203"/>
        <v>0</v>
      </c>
      <c r="AO162" s="131">
        <f t="shared" si="204"/>
        <v>0</v>
      </c>
      <c r="AP162" s="131">
        <f t="shared" si="205"/>
        <v>0</v>
      </c>
      <c r="AQ162" s="131"/>
      <c r="AR162" s="131">
        <f t="shared" si="206"/>
        <v>0</v>
      </c>
      <c r="AS162" s="131">
        <f t="shared" si="252"/>
        <v>0</v>
      </c>
      <c r="AT162" s="131">
        <f t="shared" si="207"/>
        <v>0</v>
      </c>
      <c r="AU162" s="131">
        <f t="shared" si="208"/>
        <v>0</v>
      </c>
      <c r="AV162" s="131"/>
      <c r="AW162" s="131">
        <f t="shared" si="209"/>
        <v>0</v>
      </c>
      <c r="AX162" s="131">
        <f t="shared" si="263"/>
        <v>0</v>
      </c>
      <c r="AY162" s="131">
        <f t="shared" si="210"/>
        <v>0</v>
      </c>
      <c r="AZ162" s="131"/>
      <c r="BA162" s="131">
        <f t="shared" si="264"/>
        <v>0</v>
      </c>
      <c r="BB162" s="131"/>
      <c r="BC162" s="131"/>
      <c r="BD162" s="131">
        <f t="shared" si="211"/>
        <v>0</v>
      </c>
      <c r="BE162" s="131"/>
      <c r="BF162" s="131">
        <f t="shared" si="253"/>
        <v>0</v>
      </c>
      <c r="BG162" s="131">
        <f t="shared" si="254"/>
        <v>0</v>
      </c>
      <c r="BH162" s="131"/>
      <c r="BI162" s="131"/>
      <c r="BJ162" s="131"/>
      <c r="BK162" s="131">
        <f t="shared" si="255"/>
        <v>0</v>
      </c>
      <c r="BL162" s="131"/>
      <c r="BM162" s="131"/>
      <c r="BN162" s="131">
        <f t="shared" si="256"/>
        <v>0</v>
      </c>
      <c r="BO162" s="131"/>
      <c r="BP162" s="131">
        <f t="shared" si="257"/>
        <v>0</v>
      </c>
      <c r="BQ162" s="131"/>
      <c r="BR162" s="131"/>
      <c r="BS162" s="131"/>
      <c r="BT162" s="131"/>
      <c r="BU162" s="131"/>
      <c r="BV162" s="131">
        <f t="shared" si="258"/>
        <v>0</v>
      </c>
      <c r="BW162" s="131"/>
      <c r="BX162" s="131"/>
      <c r="BY162" s="131"/>
      <c r="BZ162" s="131">
        <f t="shared" si="259"/>
        <v>0</v>
      </c>
      <c r="CA162" s="131"/>
      <c r="CB162" s="136">
        <f t="shared" si="212"/>
        <v>160.55836672570746</v>
      </c>
      <c r="CC162" s="131">
        <f t="shared" si="213"/>
        <v>0</v>
      </c>
      <c r="CD162" s="136">
        <f t="shared" si="214"/>
        <v>0</v>
      </c>
      <c r="CE162" s="131">
        <f t="shared" si="262"/>
        <v>0</v>
      </c>
      <c r="CF162" s="136">
        <f t="shared" si="215"/>
        <v>0</v>
      </c>
      <c r="CG162" s="136"/>
      <c r="CH162" s="136">
        <f t="shared" si="261"/>
        <v>0</v>
      </c>
      <c r="CI162" s="131">
        <f t="shared" si="216"/>
        <v>0</v>
      </c>
      <c r="CJ162" s="131"/>
      <c r="CK162" s="136">
        <f t="shared" si="217"/>
        <v>0</v>
      </c>
      <c r="CL162" s="136">
        <f t="shared" si="218"/>
        <v>804.25411383551102</v>
      </c>
      <c r="CM162" s="131">
        <f t="shared" si="219"/>
        <v>0</v>
      </c>
      <c r="CN162" s="136">
        <f t="shared" si="220"/>
        <v>0</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f t="shared" si="226"/>
        <v>0</v>
      </c>
      <c r="DC162" s="131">
        <f t="shared" si="185"/>
        <v>0</v>
      </c>
      <c r="DD162" s="131">
        <f t="shared" si="227"/>
        <v>0</v>
      </c>
      <c r="DE162" s="131">
        <f t="shared" si="228"/>
        <v>0</v>
      </c>
      <c r="DF162" s="131">
        <f t="shared" si="229"/>
        <v>0</v>
      </c>
      <c r="DG162" s="131">
        <f t="shared" si="230"/>
        <v>0</v>
      </c>
      <c r="DH162" s="131"/>
      <c r="DI162" s="131"/>
      <c r="DJ162" s="131"/>
      <c r="DK162" s="137">
        <f t="shared" si="260"/>
        <v>4620.5129979953599</v>
      </c>
      <c r="DL162" s="227" t="e">
        <f t="shared" si="231"/>
        <v>#REF!</v>
      </c>
      <c r="DM162" s="227" t="e">
        <f t="shared" si="232"/>
        <v>#REF!</v>
      </c>
      <c r="DN162" s="228" t="e">
        <f t="shared" si="186"/>
        <v>#REF!</v>
      </c>
      <c r="DO162" s="228">
        <f t="shared" si="233"/>
        <v>194.35242757490622</v>
      </c>
      <c r="DP162" s="228" t="e">
        <f t="shared" si="234"/>
        <v>#REF!</v>
      </c>
      <c r="DQ162" s="228" t="e">
        <f t="shared" si="235"/>
        <v>#REF!</v>
      </c>
    </row>
    <row r="163" spans="1:121">
      <c r="A163" s="132">
        <f t="shared" ref="A163:A226" si="265">IF(A162=0,0,IF(B162+1&gt;$D$9,0,A162+1))</f>
        <v>153</v>
      </c>
      <c r="B163" s="18">
        <f t="shared" si="236"/>
        <v>153</v>
      </c>
      <c r="C163" s="18">
        <f>IF(A163=0," ",VLOOKUP(B163,'tosafot '!$A$7:$B$234,2,0))</f>
        <v>9.202</v>
      </c>
      <c r="D163" s="220">
        <f t="shared" si="237"/>
        <v>228</v>
      </c>
      <c r="E163" s="130">
        <f t="shared" si="238"/>
        <v>12.2026</v>
      </c>
      <c r="F163" s="126">
        <f t="shared" si="239"/>
        <v>22</v>
      </c>
      <c r="G163" s="18" t="str">
        <f t="shared" si="240"/>
        <v>התחבורה</v>
      </c>
      <c r="H163" s="189">
        <f t="shared" si="241"/>
        <v>122</v>
      </c>
      <c r="I163" s="18">
        <f t="shared" si="242"/>
        <v>1</v>
      </c>
      <c r="J163" s="18" t="str">
        <f t="shared" si="243"/>
        <v>מינהלי - עובדי מדינה</v>
      </c>
      <c r="K163" s="189">
        <f t="shared" si="244"/>
        <v>1</v>
      </c>
      <c r="L163" s="18">
        <f t="shared" si="245"/>
        <v>12</v>
      </c>
      <c r="M163" s="129" t="str">
        <f t="shared" si="246"/>
        <v>17+</v>
      </c>
      <c r="N163" s="189"/>
      <c r="O163" s="132">
        <f t="shared" si="247"/>
        <v>1012</v>
      </c>
      <c r="P163" s="127">
        <f t="shared" si="248"/>
        <v>37</v>
      </c>
      <c r="Q163" s="127">
        <f t="shared" si="249"/>
        <v>36.75</v>
      </c>
      <c r="R163" s="128">
        <f t="shared" si="250"/>
        <v>148</v>
      </c>
      <c r="S163" s="130">
        <f t="shared" si="251"/>
        <v>1.4414995494685181</v>
      </c>
      <c r="T163" s="135">
        <f t="shared" si="188"/>
        <v>0</v>
      </c>
      <c r="U163" s="127">
        <f t="shared" si="189"/>
        <v>0</v>
      </c>
      <c r="V163" s="217">
        <v>0</v>
      </c>
      <c r="W163" s="191">
        <v>0</v>
      </c>
      <c r="X163" s="133">
        <v>0</v>
      </c>
      <c r="Y163" s="131">
        <f t="shared" si="190"/>
        <v>2438.5</v>
      </c>
      <c r="Z163" s="131">
        <f t="shared" si="191"/>
        <v>1076.5966513789815</v>
      </c>
      <c r="AA163" s="242">
        <f t="shared" si="192"/>
        <v>3515.0966513789817</v>
      </c>
      <c r="AB163" s="131">
        <f t="shared" si="193"/>
        <v>0</v>
      </c>
      <c r="AC163" s="131">
        <f t="shared" si="194"/>
        <v>140.60386605515927</v>
      </c>
      <c r="AD163" s="131">
        <f t="shared" si="195"/>
        <v>0</v>
      </c>
      <c r="AE163" s="131">
        <f t="shared" si="196"/>
        <v>0</v>
      </c>
      <c r="AF163" s="131">
        <f t="shared" si="197"/>
        <v>0</v>
      </c>
      <c r="AG163" s="131">
        <f t="shared" si="198"/>
        <v>0</v>
      </c>
      <c r="AH163" s="131">
        <f t="shared" si="199"/>
        <v>0</v>
      </c>
      <c r="AI163" s="131">
        <f t="shared" si="200"/>
        <v>0</v>
      </c>
      <c r="AJ163" s="131">
        <f t="shared" si="201"/>
        <v>0</v>
      </c>
      <c r="AK163" s="131"/>
      <c r="AL163" s="131">
        <f t="shared" si="202"/>
        <v>0</v>
      </c>
      <c r="AM163" s="131"/>
      <c r="AN163" s="243">
        <f t="shared" si="203"/>
        <v>0</v>
      </c>
      <c r="AO163" s="131">
        <f t="shared" si="204"/>
        <v>0</v>
      </c>
      <c r="AP163" s="131">
        <f t="shared" si="205"/>
        <v>0</v>
      </c>
      <c r="AQ163" s="131"/>
      <c r="AR163" s="131">
        <f t="shared" si="206"/>
        <v>0</v>
      </c>
      <c r="AS163" s="131">
        <f t="shared" si="252"/>
        <v>0</v>
      </c>
      <c r="AT163" s="131">
        <f t="shared" si="207"/>
        <v>0</v>
      </c>
      <c r="AU163" s="131">
        <f t="shared" si="208"/>
        <v>0</v>
      </c>
      <c r="AV163" s="131"/>
      <c r="AW163" s="131">
        <f t="shared" si="209"/>
        <v>0</v>
      </c>
      <c r="AX163" s="131">
        <f t="shared" si="263"/>
        <v>0</v>
      </c>
      <c r="AY163" s="131">
        <f t="shared" si="210"/>
        <v>0</v>
      </c>
      <c r="AZ163" s="131"/>
      <c r="BA163" s="131">
        <f t="shared" si="264"/>
        <v>0</v>
      </c>
      <c r="BB163" s="131"/>
      <c r="BC163" s="131"/>
      <c r="BD163" s="131">
        <f t="shared" si="211"/>
        <v>0</v>
      </c>
      <c r="BE163" s="131"/>
      <c r="BF163" s="131">
        <f t="shared" si="253"/>
        <v>0</v>
      </c>
      <c r="BG163" s="131">
        <f t="shared" si="254"/>
        <v>0</v>
      </c>
      <c r="BH163" s="131"/>
      <c r="BI163" s="131"/>
      <c r="BJ163" s="131"/>
      <c r="BK163" s="131">
        <f t="shared" si="255"/>
        <v>0</v>
      </c>
      <c r="BL163" s="131"/>
      <c r="BM163" s="131"/>
      <c r="BN163" s="131">
        <f t="shared" si="256"/>
        <v>0</v>
      </c>
      <c r="BO163" s="131"/>
      <c r="BP163" s="131">
        <f t="shared" si="257"/>
        <v>0</v>
      </c>
      <c r="BQ163" s="131"/>
      <c r="BR163" s="131"/>
      <c r="BS163" s="131"/>
      <c r="BT163" s="131"/>
      <c r="BU163" s="131"/>
      <c r="BV163" s="131">
        <f t="shared" si="258"/>
        <v>0</v>
      </c>
      <c r="BW163" s="131"/>
      <c r="BX163" s="131"/>
      <c r="BY163" s="131"/>
      <c r="BZ163" s="131">
        <f t="shared" si="259"/>
        <v>0</v>
      </c>
      <c r="CA163" s="131"/>
      <c r="CB163" s="136">
        <f t="shared" si="212"/>
        <v>160.55836672570746</v>
      </c>
      <c r="CC163" s="131">
        <f t="shared" si="213"/>
        <v>0</v>
      </c>
      <c r="CD163" s="136">
        <f t="shared" si="214"/>
        <v>0</v>
      </c>
      <c r="CE163" s="131">
        <f t="shared" si="262"/>
        <v>0</v>
      </c>
      <c r="CF163" s="136">
        <f t="shared" si="215"/>
        <v>0</v>
      </c>
      <c r="CG163" s="136"/>
      <c r="CH163" s="136">
        <f t="shared" si="261"/>
        <v>0</v>
      </c>
      <c r="CI163" s="131">
        <f t="shared" si="216"/>
        <v>0</v>
      </c>
      <c r="CJ163" s="131"/>
      <c r="CK163" s="136">
        <f t="shared" si="217"/>
        <v>0</v>
      </c>
      <c r="CL163" s="136">
        <f t="shared" si="218"/>
        <v>804.25411383551102</v>
      </c>
      <c r="CM163" s="131">
        <f t="shared" si="219"/>
        <v>0</v>
      </c>
      <c r="CN163" s="136">
        <f t="shared" si="220"/>
        <v>0</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f t="shared" si="226"/>
        <v>0</v>
      </c>
      <c r="DC163" s="131">
        <f t="shared" si="185"/>
        <v>0</v>
      </c>
      <c r="DD163" s="131">
        <f t="shared" si="227"/>
        <v>0</v>
      </c>
      <c r="DE163" s="131">
        <f t="shared" si="228"/>
        <v>0</v>
      </c>
      <c r="DF163" s="131">
        <f t="shared" si="229"/>
        <v>0</v>
      </c>
      <c r="DG163" s="131">
        <f t="shared" si="230"/>
        <v>0</v>
      </c>
      <c r="DH163" s="131"/>
      <c r="DI163" s="131"/>
      <c r="DJ163" s="131"/>
      <c r="DK163" s="137">
        <f t="shared" si="260"/>
        <v>4620.5129979953599</v>
      </c>
      <c r="DL163" s="227" t="e">
        <f t="shared" si="231"/>
        <v>#REF!</v>
      </c>
      <c r="DM163" s="227" t="e">
        <f t="shared" si="232"/>
        <v>#REF!</v>
      </c>
      <c r="DN163" s="228" t="e">
        <f t="shared" si="186"/>
        <v>#REF!</v>
      </c>
      <c r="DO163" s="228">
        <f t="shared" si="233"/>
        <v>194.35242757490622</v>
      </c>
      <c r="DP163" s="228" t="e">
        <f t="shared" si="234"/>
        <v>#REF!</v>
      </c>
      <c r="DQ163" s="228" t="e">
        <f t="shared" si="235"/>
        <v>#REF!</v>
      </c>
    </row>
    <row r="164" spans="1:121">
      <c r="A164" s="132">
        <f t="shared" si="265"/>
        <v>154</v>
      </c>
      <c r="B164" s="18">
        <f t="shared" si="236"/>
        <v>154</v>
      </c>
      <c r="C164" s="18">
        <f>IF(A164=0," ",VLOOKUP(B164,'tosafot '!$A$7:$B$234,2,0))</f>
        <v>10.202</v>
      </c>
      <c r="D164" s="220">
        <f t="shared" si="237"/>
        <v>228</v>
      </c>
      <c r="E164" s="130">
        <f t="shared" si="238"/>
        <v>12.2026</v>
      </c>
      <c r="F164" s="126">
        <f t="shared" si="239"/>
        <v>22</v>
      </c>
      <c r="G164" s="18" t="str">
        <f t="shared" si="240"/>
        <v>התחבורה</v>
      </c>
      <c r="H164" s="189">
        <f t="shared" si="241"/>
        <v>122</v>
      </c>
      <c r="I164" s="18">
        <f t="shared" si="242"/>
        <v>1</v>
      </c>
      <c r="J164" s="18" t="str">
        <f t="shared" si="243"/>
        <v>מינהלי - עובדי מדינה</v>
      </c>
      <c r="K164" s="189">
        <f t="shared" si="244"/>
        <v>1</v>
      </c>
      <c r="L164" s="18">
        <f t="shared" si="245"/>
        <v>12</v>
      </c>
      <c r="M164" s="129" t="str">
        <f t="shared" si="246"/>
        <v>17+</v>
      </c>
      <c r="N164" s="189"/>
      <c r="O164" s="132">
        <f t="shared" si="247"/>
        <v>1012</v>
      </c>
      <c r="P164" s="127">
        <f t="shared" si="248"/>
        <v>37</v>
      </c>
      <c r="Q164" s="127">
        <f t="shared" si="249"/>
        <v>36.75</v>
      </c>
      <c r="R164" s="128">
        <f t="shared" si="250"/>
        <v>148</v>
      </c>
      <c r="S164" s="130">
        <f t="shared" si="251"/>
        <v>1.4414995494685181</v>
      </c>
      <c r="T164" s="135">
        <f t="shared" si="188"/>
        <v>0</v>
      </c>
      <c r="U164" s="127">
        <f t="shared" si="189"/>
        <v>0</v>
      </c>
      <c r="V164" s="217">
        <v>0</v>
      </c>
      <c r="W164" s="191">
        <v>0</v>
      </c>
      <c r="X164" s="133">
        <v>0</v>
      </c>
      <c r="Y164" s="131">
        <f t="shared" si="190"/>
        <v>2438.5</v>
      </c>
      <c r="Z164" s="131">
        <f t="shared" si="191"/>
        <v>1076.5966513789815</v>
      </c>
      <c r="AA164" s="242">
        <f t="shared" si="192"/>
        <v>3515.0966513789817</v>
      </c>
      <c r="AB164" s="131">
        <f t="shared" si="193"/>
        <v>0</v>
      </c>
      <c r="AC164" s="131">
        <f t="shared" si="194"/>
        <v>140.60386605515927</v>
      </c>
      <c r="AD164" s="131">
        <f t="shared" si="195"/>
        <v>0</v>
      </c>
      <c r="AE164" s="131">
        <f t="shared" si="196"/>
        <v>0</v>
      </c>
      <c r="AF164" s="131">
        <f t="shared" si="197"/>
        <v>0</v>
      </c>
      <c r="AG164" s="131">
        <f t="shared" si="198"/>
        <v>0</v>
      </c>
      <c r="AH164" s="131">
        <f t="shared" si="199"/>
        <v>0</v>
      </c>
      <c r="AI164" s="131">
        <f t="shared" si="200"/>
        <v>0</v>
      </c>
      <c r="AJ164" s="131">
        <f t="shared" si="201"/>
        <v>0</v>
      </c>
      <c r="AK164" s="131"/>
      <c r="AL164" s="131">
        <f t="shared" si="202"/>
        <v>0</v>
      </c>
      <c r="AM164" s="131"/>
      <c r="AN164" s="243">
        <f t="shared" si="203"/>
        <v>0</v>
      </c>
      <c r="AO164" s="131">
        <f t="shared" si="204"/>
        <v>0</v>
      </c>
      <c r="AP164" s="131">
        <f t="shared" si="205"/>
        <v>0</v>
      </c>
      <c r="AQ164" s="131"/>
      <c r="AR164" s="131">
        <f t="shared" si="206"/>
        <v>0</v>
      </c>
      <c r="AS164" s="131">
        <f t="shared" si="252"/>
        <v>0</v>
      </c>
      <c r="AT164" s="131">
        <f t="shared" si="207"/>
        <v>0</v>
      </c>
      <c r="AU164" s="131">
        <f t="shared" si="208"/>
        <v>0</v>
      </c>
      <c r="AV164" s="131"/>
      <c r="AW164" s="131">
        <f t="shared" si="209"/>
        <v>0</v>
      </c>
      <c r="AX164" s="131">
        <f t="shared" si="263"/>
        <v>0</v>
      </c>
      <c r="AY164" s="131">
        <f t="shared" si="210"/>
        <v>0</v>
      </c>
      <c r="AZ164" s="131"/>
      <c r="BA164" s="131">
        <f t="shared" si="264"/>
        <v>0</v>
      </c>
      <c r="BB164" s="131"/>
      <c r="BC164" s="131"/>
      <c r="BD164" s="131">
        <f t="shared" si="211"/>
        <v>0</v>
      </c>
      <c r="BE164" s="131"/>
      <c r="BF164" s="131">
        <f t="shared" si="253"/>
        <v>0</v>
      </c>
      <c r="BG164" s="131">
        <f t="shared" si="254"/>
        <v>0</v>
      </c>
      <c r="BH164" s="131"/>
      <c r="BI164" s="131"/>
      <c r="BJ164" s="131"/>
      <c r="BK164" s="131">
        <f t="shared" si="255"/>
        <v>0</v>
      </c>
      <c r="BL164" s="131"/>
      <c r="BM164" s="131"/>
      <c r="BN164" s="131">
        <f t="shared" si="256"/>
        <v>0</v>
      </c>
      <c r="BO164" s="131"/>
      <c r="BP164" s="131">
        <f t="shared" si="257"/>
        <v>0</v>
      </c>
      <c r="BQ164" s="131"/>
      <c r="BR164" s="131"/>
      <c r="BS164" s="131"/>
      <c r="BT164" s="131"/>
      <c r="BU164" s="131"/>
      <c r="BV164" s="131">
        <f t="shared" si="258"/>
        <v>0</v>
      </c>
      <c r="BW164" s="131"/>
      <c r="BX164" s="131"/>
      <c r="BY164" s="131"/>
      <c r="BZ164" s="131">
        <f t="shared" si="259"/>
        <v>0</v>
      </c>
      <c r="CA164" s="131"/>
      <c r="CB164" s="136">
        <f t="shared" si="212"/>
        <v>160.55836672570746</v>
      </c>
      <c r="CC164" s="131">
        <f t="shared" si="213"/>
        <v>0</v>
      </c>
      <c r="CD164" s="136">
        <f t="shared" si="214"/>
        <v>0</v>
      </c>
      <c r="CE164" s="131">
        <f t="shared" si="262"/>
        <v>0</v>
      </c>
      <c r="CF164" s="136">
        <f t="shared" si="215"/>
        <v>0</v>
      </c>
      <c r="CG164" s="136"/>
      <c r="CH164" s="136">
        <f t="shared" si="261"/>
        <v>0</v>
      </c>
      <c r="CI164" s="131">
        <f t="shared" si="216"/>
        <v>0</v>
      </c>
      <c r="CJ164" s="131"/>
      <c r="CK164" s="136">
        <f t="shared" si="217"/>
        <v>0</v>
      </c>
      <c r="CL164" s="136">
        <f t="shared" si="218"/>
        <v>804.25411383551102</v>
      </c>
      <c r="CM164" s="131">
        <f t="shared" si="219"/>
        <v>0</v>
      </c>
      <c r="CN164" s="136">
        <f t="shared" si="220"/>
        <v>0</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f t="shared" si="226"/>
        <v>0</v>
      </c>
      <c r="DC164" s="131">
        <f t="shared" si="185"/>
        <v>0</v>
      </c>
      <c r="DD164" s="131">
        <f t="shared" si="227"/>
        <v>0</v>
      </c>
      <c r="DE164" s="131">
        <f t="shared" si="228"/>
        <v>0</v>
      </c>
      <c r="DF164" s="131">
        <f t="shared" si="229"/>
        <v>0</v>
      </c>
      <c r="DG164" s="131">
        <f t="shared" si="230"/>
        <v>0</v>
      </c>
      <c r="DH164" s="131"/>
      <c r="DI164" s="131"/>
      <c r="DJ164" s="131"/>
      <c r="DK164" s="137">
        <f t="shared" si="260"/>
        <v>4620.5129979953599</v>
      </c>
      <c r="DL164" s="227" t="e">
        <f t="shared" si="231"/>
        <v>#REF!</v>
      </c>
      <c r="DM164" s="227" t="e">
        <f t="shared" si="232"/>
        <v>#REF!</v>
      </c>
      <c r="DN164" s="228" t="e">
        <f t="shared" si="186"/>
        <v>#REF!</v>
      </c>
      <c r="DO164" s="228">
        <f t="shared" si="233"/>
        <v>194.35242757490622</v>
      </c>
      <c r="DP164" s="228" t="e">
        <f t="shared" si="234"/>
        <v>#REF!</v>
      </c>
      <c r="DQ164" s="228" t="e">
        <f t="shared" si="235"/>
        <v>#REF!</v>
      </c>
    </row>
    <row r="165" spans="1:121">
      <c r="A165" s="132">
        <f t="shared" si="265"/>
        <v>155</v>
      </c>
      <c r="B165" s="18">
        <f t="shared" si="236"/>
        <v>155</v>
      </c>
      <c r="C165" s="18">
        <f>IF(A165=0," ",VLOOKUP(B165,'tosafot '!$A$7:$B$234,2,0))</f>
        <v>11.202</v>
      </c>
      <c r="D165" s="220">
        <f t="shared" si="237"/>
        <v>228</v>
      </c>
      <c r="E165" s="130">
        <f t="shared" si="238"/>
        <v>12.2026</v>
      </c>
      <c r="F165" s="126">
        <f t="shared" si="239"/>
        <v>22</v>
      </c>
      <c r="G165" s="18" t="str">
        <f t="shared" si="240"/>
        <v>התחבורה</v>
      </c>
      <c r="H165" s="189">
        <f t="shared" si="241"/>
        <v>122</v>
      </c>
      <c r="I165" s="18">
        <f t="shared" si="242"/>
        <v>1</v>
      </c>
      <c r="J165" s="18" t="str">
        <f t="shared" si="243"/>
        <v>מינהלי - עובדי מדינה</v>
      </c>
      <c r="K165" s="189">
        <f t="shared" si="244"/>
        <v>1</v>
      </c>
      <c r="L165" s="18">
        <f t="shared" si="245"/>
        <v>12</v>
      </c>
      <c r="M165" s="129" t="str">
        <f t="shared" si="246"/>
        <v>17+</v>
      </c>
      <c r="N165" s="189"/>
      <c r="O165" s="132">
        <f t="shared" si="247"/>
        <v>1012</v>
      </c>
      <c r="P165" s="127">
        <f t="shared" si="248"/>
        <v>37</v>
      </c>
      <c r="Q165" s="127">
        <f t="shared" si="249"/>
        <v>36.75</v>
      </c>
      <c r="R165" s="128">
        <f t="shared" si="250"/>
        <v>148</v>
      </c>
      <c r="S165" s="130">
        <f t="shared" si="251"/>
        <v>1.4414995494685181</v>
      </c>
      <c r="T165" s="135">
        <f t="shared" si="188"/>
        <v>0</v>
      </c>
      <c r="U165" s="127">
        <f t="shared" si="189"/>
        <v>0</v>
      </c>
      <c r="V165" s="217">
        <v>0</v>
      </c>
      <c r="W165" s="191">
        <v>0</v>
      </c>
      <c r="X165" s="133">
        <v>0</v>
      </c>
      <c r="Y165" s="131">
        <f t="shared" si="190"/>
        <v>2438.5</v>
      </c>
      <c r="Z165" s="131">
        <f t="shared" si="191"/>
        <v>1076.5966513789815</v>
      </c>
      <c r="AA165" s="242">
        <f t="shared" si="192"/>
        <v>3515.0966513789817</v>
      </c>
      <c r="AB165" s="131">
        <f t="shared" si="193"/>
        <v>0</v>
      </c>
      <c r="AC165" s="131">
        <f t="shared" si="194"/>
        <v>140.60386605515927</v>
      </c>
      <c r="AD165" s="131">
        <f t="shared" si="195"/>
        <v>0</v>
      </c>
      <c r="AE165" s="131">
        <f t="shared" si="196"/>
        <v>0</v>
      </c>
      <c r="AF165" s="131">
        <f t="shared" si="197"/>
        <v>0</v>
      </c>
      <c r="AG165" s="131">
        <f t="shared" si="198"/>
        <v>0</v>
      </c>
      <c r="AH165" s="131">
        <f t="shared" si="199"/>
        <v>0</v>
      </c>
      <c r="AI165" s="131">
        <f t="shared" si="200"/>
        <v>0</v>
      </c>
      <c r="AJ165" s="131">
        <f t="shared" si="201"/>
        <v>0</v>
      </c>
      <c r="AK165" s="131"/>
      <c r="AL165" s="131">
        <f t="shared" si="202"/>
        <v>0</v>
      </c>
      <c r="AM165" s="131"/>
      <c r="AN165" s="243">
        <f t="shared" si="203"/>
        <v>0</v>
      </c>
      <c r="AO165" s="131">
        <f t="shared" si="204"/>
        <v>0</v>
      </c>
      <c r="AP165" s="131">
        <f t="shared" si="205"/>
        <v>0</v>
      </c>
      <c r="AQ165" s="131"/>
      <c r="AR165" s="131">
        <f t="shared" si="206"/>
        <v>0</v>
      </c>
      <c r="AS165" s="131">
        <f t="shared" si="252"/>
        <v>0</v>
      </c>
      <c r="AT165" s="131">
        <f t="shared" si="207"/>
        <v>0</v>
      </c>
      <c r="AU165" s="131">
        <f t="shared" si="208"/>
        <v>0</v>
      </c>
      <c r="AV165" s="131"/>
      <c r="AW165" s="131">
        <f t="shared" si="209"/>
        <v>0</v>
      </c>
      <c r="AX165" s="131">
        <f t="shared" si="263"/>
        <v>0</v>
      </c>
      <c r="AY165" s="131">
        <f t="shared" si="210"/>
        <v>0</v>
      </c>
      <c r="AZ165" s="131"/>
      <c r="BA165" s="131">
        <f t="shared" si="264"/>
        <v>0</v>
      </c>
      <c r="BB165" s="131"/>
      <c r="BC165" s="131"/>
      <c r="BD165" s="131">
        <f t="shared" si="211"/>
        <v>0</v>
      </c>
      <c r="BE165" s="131"/>
      <c r="BF165" s="131">
        <f t="shared" si="253"/>
        <v>0</v>
      </c>
      <c r="BG165" s="131">
        <f t="shared" si="254"/>
        <v>0</v>
      </c>
      <c r="BH165" s="131"/>
      <c r="BI165" s="131"/>
      <c r="BJ165" s="131"/>
      <c r="BK165" s="131">
        <f t="shared" si="255"/>
        <v>0</v>
      </c>
      <c r="BL165" s="131"/>
      <c r="BM165" s="131"/>
      <c r="BN165" s="131">
        <f t="shared" si="256"/>
        <v>0</v>
      </c>
      <c r="BO165" s="131"/>
      <c r="BP165" s="131">
        <f t="shared" si="257"/>
        <v>0</v>
      </c>
      <c r="BQ165" s="131"/>
      <c r="BR165" s="131"/>
      <c r="BS165" s="131"/>
      <c r="BT165" s="131"/>
      <c r="BU165" s="131"/>
      <c r="BV165" s="131">
        <f t="shared" si="258"/>
        <v>0</v>
      </c>
      <c r="BW165" s="131"/>
      <c r="BX165" s="131"/>
      <c r="BY165" s="131"/>
      <c r="BZ165" s="131">
        <f t="shared" si="259"/>
        <v>0</v>
      </c>
      <c r="CA165" s="131"/>
      <c r="CB165" s="136">
        <f t="shared" si="212"/>
        <v>160.55836672570746</v>
      </c>
      <c r="CC165" s="131">
        <f t="shared" si="213"/>
        <v>0</v>
      </c>
      <c r="CD165" s="136">
        <f t="shared" si="214"/>
        <v>0</v>
      </c>
      <c r="CE165" s="131">
        <f t="shared" si="262"/>
        <v>0</v>
      </c>
      <c r="CF165" s="136">
        <f t="shared" si="215"/>
        <v>0</v>
      </c>
      <c r="CG165" s="136"/>
      <c r="CH165" s="136">
        <f t="shared" si="261"/>
        <v>0</v>
      </c>
      <c r="CI165" s="131">
        <f t="shared" si="216"/>
        <v>0</v>
      </c>
      <c r="CJ165" s="131"/>
      <c r="CK165" s="136">
        <f t="shared" si="217"/>
        <v>0</v>
      </c>
      <c r="CL165" s="136">
        <f t="shared" si="218"/>
        <v>804.25411383551102</v>
      </c>
      <c r="CM165" s="131">
        <f t="shared" si="219"/>
        <v>0</v>
      </c>
      <c r="CN165" s="136">
        <f t="shared" si="220"/>
        <v>0</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f t="shared" si="226"/>
        <v>0</v>
      </c>
      <c r="DC165" s="131">
        <f t="shared" si="185"/>
        <v>0</v>
      </c>
      <c r="DD165" s="131">
        <f t="shared" si="227"/>
        <v>0</v>
      </c>
      <c r="DE165" s="131">
        <f t="shared" si="228"/>
        <v>0</v>
      </c>
      <c r="DF165" s="131">
        <f t="shared" si="229"/>
        <v>0</v>
      </c>
      <c r="DG165" s="131">
        <f t="shared" si="230"/>
        <v>0</v>
      </c>
      <c r="DH165" s="131"/>
      <c r="DI165" s="131"/>
      <c r="DJ165" s="131"/>
      <c r="DK165" s="137">
        <f t="shared" si="260"/>
        <v>4620.5129979953599</v>
      </c>
      <c r="DL165" s="227" t="e">
        <f t="shared" si="231"/>
        <v>#REF!</v>
      </c>
      <c r="DM165" s="227" t="e">
        <f t="shared" si="232"/>
        <v>#REF!</v>
      </c>
      <c r="DN165" s="228" t="e">
        <f t="shared" si="186"/>
        <v>#REF!</v>
      </c>
      <c r="DO165" s="228">
        <f t="shared" si="233"/>
        <v>194.35242757490622</v>
      </c>
      <c r="DP165" s="228" t="e">
        <f t="shared" si="234"/>
        <v>#REF!</v>
      </c>
      <c r="DQ165" s="228" t="e">
        <f t="shared" si="235"/>
        <v>#REF!</v>
      </c>
    </row>
    <row r="166" spans="1:121">
      <c r="A166" s="132">
        <f t="shared" si="265"/>
        <v>156</v>
      </c>
      <c r="B166" s="18">
        <f t="shared" si="236"/>
        <v>156</v>
      </c>
      <c r="C166" s="18">
        <f>IF(A166=0," ",VLOOKUP(B166,'tosafot '!$A$7:$B$234,2,0))</f>
        <v>12.202</v>
      </c>
      <c r="D166" s="220">
        <f t="shared" si="237"/>
        <v>228</v>
      </c>
      <c r="E166" s="130">
        <f t="shared" si="238"/>
        <v>12.2026</v>
      </c>
      <c r="F166" s="126">
        <f t="shared" si="239"/>
        <v>22</v>
      </c>
      <c r="G166" s="18" t="str">
        <f t="shared" si="240"/>
        <v>התחבורה</v>
      </c>
      <c r="H166" s="189">
        <f t="shared" si="241"/>
        <v>122</v>
      </c>
      <c r="I166" s="18">
        <f t="shared" si="242"/>
        <v>1</v>
      </c>
      <c r="J166" s="18" t="str">
        <f t="shared" si="243"/>
        <v>מינהלי - עובדי מדינה</v>
      </c>
      <c r="K166" s="189">
        <f t="shared" si="244"/>
        <v>1</v>
      </c>
      <c r="L166" s="18">
        <f t="shared" si="245"/>
        <v>12</v>
      </c>
      <c r="M166" s="129" t="str">
        <f t="shared" si="246"/>
        <v>17+</v>
      </c>
      <c r="N166" s="189"/>
      <c r="O166" s="132">
        <f t="shared" si="247"/>
        <v>1012</v>
      </c>
      <c r="P166" s="127">
        <f t="shared" si="248"/>
        <v>37</v>
      </c>
      <c r="Q166" s="127">
        <f t="shared" si="249"/>
        <v>36.75</v>
      </c>
      <c r="R166" s="128">
        <f t="shared" si="250"/>
        <v>148</v>
      </c>
      <c r="S166" s="130">
        <f t="shared" si="251"/>
        <v>1.4414995494685181</v>
      </c>
      <c r="T166" s="135">
        <f t="shared" si="188"/>
        <v>0</v>
      </c>
      <c r="U166" s="127">
        <f t="shared" si="189"/>
        <v>0</v>
      </c>
      <c r="V166" s="217">
        <v>0</v>
      </c>
      <c r="W166" s="191">
        <v>0</v>
      </c>
      <c r="X166" s="133">
        <v>0</v>
      </c>
      <c r="Y166" s="131">
        <f t="shared" si="190"/>
        <v>2438.5</v>
      </c>
      <c r="Z166" s="131">
        <f t="shared" si="191"/>
        <v>1076.5966513789815</v>
      </c>
      <c r="AA166" s="242">
        <f t="shared" si="192"/>
        <v>3515.0966513789817</v>
      </c>
      <c r="AB166" s="131">
        <f t="shared" si="193"/>
        <v>0</v>
      </c>
      <c r="AC166" s="131">
        <f t="shared" si="194"/>
        <v>140.60386605515927</v>
      </c>
      <c r="AD166" s="131">
        <f t="shared" si="195"/>
        <v>0</v>
      </c>
      <c r="AE166" s="131">
        <f t="shared" si="196"/>
        <v>0</v>
      </c>
      <c r="AF166" s="131">
        <f t="shared" si="197"/>
        <v>0</v>
      </c>
      <c r="AG166" s="131">
        <f t="shared" si="198"/>
        <v>0</v>
      </c>
      <c r="AH166" s="131">
        <f t="shared" si="199"/>
        <v>0</v>
      </c>
      <c r="AI166" s="131">
        <f t="shared" si="200"/>
        <v>0</v>
      </c>
      <c r="AJ166" s="131">
        <f t="shared" si="201"/>
        <v>0</v>
      </c>
      <c r="AK166" s="131"/>
      <c r="AL166" s="131">
        <f t="shared" si="202"/>
        <v>0</v>
      </c>
      <c r="AM166" s="131"/>
      <c r="AN166" s="243">
        <f t="shared" si="203"/>
        <v>0</v>
      </c>
      <c r="AO166" s="131">
        <f t="shared" si="204"/>
        <v>0</v>
      </c>
      <c r="AP166" s="131">
        <f t="shared" si="205"/>
        <v>0</v>
      </c>
      <c r="AQ166" s="131"/>
      <c r="AR166" s="131">
        <f t="shared" si="206"/>
        <v>0</v>
      </c>
      <c r="AS166" s="131">
        <f t="shared" si="252"/>
        <v>0</v>
      </c>
      <c r="AT166" s="131">
        <f t="shared" si="207"/>
        <v>0</v>
      </c>
      <c r="AU166" s="131">
        <f t="shared" si="208"/>
        <v>0</v>
      </c>
      <c r="AV166" s="131"/>
      <c r="AW166" s="131">
        <f t="shared" si="209"/>
        <v>0</v>
      </c>
      <c r="AX166" s="131">
        <f t="shared" si="263"/>
        <v>0</v>
      </c>
      <c r="AY166" s="131">
        <f t="shared" si="210"/>
        <v>0</v>
      </c>
      <c r="AZ166" s="131"/>
      <c r="BA166" s="131">
        <f t="shared" si="264"/>
        <v>0</v>
      </c>
      <c r="BB166" s="131"/>
      <c r="BC166" s="131"/>
      <c r="BD166" s="131">
        <f t="shared" si="211"/>
        <v>0</v>
      </c>
      <c r="BE166" s="131"/>
      <c r="BF166" s="131">
        <f t="shared" si="253"/>
        <v>0</v>
      </c>
      <c r="BG166" s="131">
        <f t="shared" si="254"/>
        <v>0</v>
      </c>
      <c r="BH166" s="131"/>
      <c r="BI166" s="131"/>
      <c r="BJ166" s="131"/>
      <c r="BK166" s="131">
        <f t="shared" si="255"/>
        <v>0</v>
      </c>
      <c r="BL166" s="131"/>
      <c r="BM166" s="131"/>
      <c r="BN166" s="131">
        <f t="shared" si="256"/>
        <v>0</v>
      </c>
      <c r="BO166" s="131"/>
      <c r="BP166" s="131">
        <f t="shared" si="257"/>
        <v>0</v>
      </c>
      <c r="BQ166" s="131"/>
      <c r="BR166" s="131"/>
      <c r="BS166" s="131"/>
      <c r="BT166" s="131"/>
      <c r="BU166" s="131"/>
      <c r="BV166" s="131">
        <f t="shared" si="258"/>
        <v>0</v>
      </c>
      <c r="BW166" s="131"/>
      <c r="BX166" s="131"/>
      <c r="BY166" s="131"/>
      <c r="BZ166" s="131">
        <f t="shared" si="259"/>
        <v>0</v>
      </c>
      <c r="CA166" s="131"/>
      <c r="CB166" s="136">
        <f t="shared" si="212"/>
        <v>160.55836672570746</v>
      </c>
      <c r="CC166" s="131">
        <f t="shared" si="213"/>
        <v>0</v>
      </c>
      <c r="CD166" s="136">
        <f t="shared" si="214"/>
        <v>0</v>
      </c>
      <c r="CE166" s="131">
        <f t="shared" si="262"/>
        <v>0</v>
      </c>
      <c r="CF166" s="136">
        <f t="shared" si="215"/>
        <v>0</v>
      </c>
      <c r="CG166" s="136"/>
      <c r="CH166" s="136">
        <f t="shared" si="261"/>
        <v>0</v>
      </c>
      <c r="CI166" s="131">
        <f t="shared" si="216"/>
        <v>0</v>
      </c>
      <c r="CJ166" s="131"/>
      <c r="CK166" s="136">
        <f t="shared" si="217"/>
        <v>0</v>
      </c>
      <c r="CL166" s="136">
        <f t="shared" si="218"/>
        <v>804.25411383551102</v>
      </c>
      <c r="CM166" s="131">
        <f t="shared" si="219"/>
        <v>0</v>
      </c>
      <c r="CN166" s="136">
        <f t="shared" si="220"/>
        <v>0</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f t="shared" si="226"/>
        <v>0</v>
      </c>
      <c r="DC166" s="131">
        <f t="shared" si="185"/>
        <v>0</v>
      </c>
      <c r="DD166" s="131">
        <f t="shared" si="227"/>
        <v>0</v>
      </c>
      <c r="DE166" s="131">
        <f t="shared" si="228"/>
        <v>0</v>
      </c>
      <c r="DF166" s="131">
        <f t="shared" si="229"/>
        <v>0</v>
      </c>
      <c r="DG166" s="131">
        <f t="shared" si="230"/>
        <v>0</v>
      </c>
      <c r="DH166" s="131"/>
      <c r="DI166" s="131"/>
      <c r="DJ166" s="131"/>
      <c r="DK166" s="137">
        <f t="shared" si="260"/>
        <v>4620.5129979953599</v>
      </c>
      <c r="DL166" s="227" t="e">
        <f t="shared" si="231"/>
        <v>#REF!</v>
      </c>
      <c r="DM166" s="227" t="e">
        <f t="shared" si="232"/>
        <v>#REF!</v>
      </c>
      <c r="DN166" s="228" t="e">
        <f t="shared" si="186"/>
        <v>#REF!</v>
      </c>
      <c r="DO166" s="228">
        <f t="shared" si="233"/>
        <v>194.35242757490622</v>
      </c>
      <c r="DP166" s="228" t="e">
        <f t="shared" si="234"/>
        <v>#REF!</v>
      </c>
      <c r="DQ166" s="228" t="e">
        <f t="shared" si="235"/>
        <v>#REF!</v>
      </c>
    </row>
    <row r="167" spans="1:121">
      <c r="A167" s="132">
        <f t="shared" si="265"/>
        <v>157</v>
      </c>
      <c r="B167" s="18">
        <f t="shared" si="236"/>
        <v>157</v>
      </c>
      <c r="C167" s="18">
        <f>IF(A167=0," ",VLOOKUP(B167,'tosafot '!$A$7:$B$234,2,0))</f>
        <v>1.2020999999999999</v>
      </c>
      <c r="D167" s="220">
        <f t="shared" si="237"/>
        <v>228</v>
      </c>
      <c r="E167" s="130">
        <f t="shared" si="238"/>
        <v>12.2026</v>
      </c>
      <c r="F167" s="126">
        <f t="shared" si="239"/>
        <v>22</v>
      </c>
      <c r="G167" s="18" t="str">
        <f t="shared" si="240"/>
        <v>התחבורה</v>
      </c>
      <c r="H167" s="189">
        <f t="shared" si="241"/>
        <v>122</v>
      </c>
      <c r="I167" s="18">
        <f t="shared" si="242"/>
        <v>1</v>
      </c>
      <c r="J167" s="18" t="str">
        <f t="shared" si="243"/>
        <v>מינהלי - עובדי מדינה</v>
      </c>
      <c r="K167" s="189">
        <f t="shared" si="244"/>
        <v>1</v>
      </c>
      <c r="L167" s="18">
        <f t="shared" si="245"/>
        <v>12</v>
      </c>
      <c r="M167" s="129" t="str">
        <f t="shared" si="246"/>
        <v>17+</v>
      </c>
      <c r="N167" s="189"/>
      <c r="O167" s="132">
        <f t="shared" si="247"/>
        <v>1012</v>
      </c>
      <c r="P167" s="127">
        <f t="shared" si="248"/>
        <v>37</v>
      </c>
      <c r="Q167" s="127">
        <f t="shared" si="249"/>
        <v>36.75</v>
      </c>
      <c r="R167" s="128">
        <f t="shared" si="250"/>
        <v>148</v>
      </c>
      <c r="S167" s="130">
        <f t="shared" si="251"/>
        <v>1.4414995494685181</v>
      </c>
      <c r="T167" s="135">
        <f t="shared" si="188"/>
        <v>0</v>
      </c>
      <c r="U167" s="127">
        <f t="shared" si="189"/>
        <v>0</v>
      </c>
      <c r="V167" s="217">
        <v>0</v>
      </c>
      <c r="W167" s="191">
        <v>0</v>
      </c>
      <c r="X167" s="133">
        <v>0</v>
      </c>
      <c r="Y167" s="131">
        <f t="shared" si="190"/>
        <v>2438.5</v>
      </c>
      <c r="Z167" s="131">
        <f t="shared" si="191"/>
        <v>1076.5966513789815</v>
      </c>
      <c r="AA167" s="242">
        <f t="shared" si="192"/>
        <v>3515.0966513789817</v>
      </c>
      <c r="AB167" s="131">
        <f t="shared" si="193"/>
        <v>0</v>
      </c>
      <c r="AC167" s="131">
        <f t="shared" si="194"/>
        <v>140.60386605515927</v>
      </c>
      <c r="AD167" s="131">
        <f t="shared" si="195"/>
        <v>0</v>
      </c>
      <c r="AE167" s="131">
        <f t="shared" si="196"/>
        <v>0</v>
      </c>
      <c r="AF167" s="131">
        <f t="shared" si="197"/>
        <v>0</v>
      </c>
      <c r="AG167" s="131">
        <f t="shared" si="198"/>
        <v>0</v>
      </c>
      <c r="AH167" s="131">
        <f t="shared" si="199"/>
        <v>0</v>
      </c>
      <c r="AI167" s="131">
        <f t="shared" si="200"/>
        <v>0</v>
      </c>
      <c r="AJ167" s="131">
        <f t="shared" si="201"/>
        <v>0</v>
      </c>
      <c r="AK167" s="131"/>
      <c r="AL167" s="131">
        <f t="shared" si="202"/>
        <v>0</v>
      </c>
      <c r="AM167" s="131"/>
      <c r="AN167" s="243">
        <f t="shared" si="203"/>
        <v>0</v>
      </c>
      <c r="AO167" s="131">
        <f t="shared" si="204"/>
        <v>0</v>
      </c>
      <c r="AP167" s="131">
        <f t="shared" si="205"/>
        <v>0</v>
      </c>
      <c r="AQ167" s="131"/>
      <c r="AR167" s="131">
        <f t="shared" si="206"/>
        <v>0</v>
      </c>
      <c r="AS167" s="131">
        <f t="shared" si="252"/>
        <v>0</v>
      </c>
      <c r="AT167" s="131">
        <f t="shared" si="207"/>
        <v>0</v>
      </c>
      <c r="AU167" s="131">
        <f t="shared" si="208"/>
        <v>0</v>
      </c>
      <c r="AV167" s="131"/>
      <c r="AW167" s="131">
        <f t="shared" si="209"/>
        <v>0</v>
      </c>
      <c r="AX167" s="131">
        <f t="shared" si="263"/>
        <v>0</v>
      </c>
      <c r="AY167" s="131">
        <f t="shared" si="210"/>
        <v>0</v>
      </c>
      <c r="AZ167" s="131"/>
      <c r="BA167" s="131">
        <f t="shared" si="264"/>
        <v>0</v>
      </c>
      <c r="BB167" s="131"/>
      <c r="BC167" s="131"/>
      <c r="BD167" s="131">
        <f t="shared" si="211"/>
        <v>0</v>
      </c>
      <c r="BE167" s="131"/>
      <c r="BF167" s="131">
        <f t="shared" si="253"/>
        <v>0</v>
      </c>
      <c r="BG167" s="131">
        <f t="shared" si="254"/>
        <v>0</v>
      </c>
      <c r="BH167" s="131"/>
      <c r="BI167" s="131"/>
      <c r="BJ167" s="131"/>
      <c r="BK167" s="131">
        <f t="shared" si="255"/>
        <v>0</v>
      </c>
      <c r="BL167" s="131"/>
      <c r="BM167" s="131"/>
      <c r="BN167" s="131">
        <f t="shared" si="256"/>
        <v>0</v>
      </c>
      <c r="BO167" s="131"/>
      <c r="BP167" s="131">
        <f t="shared" si="257"/>
        <v>0</v>
      </c>
      <c r="BQ167" s="131"/>
      <c r="BR167" s="131"/>
      <c r="BS167" s="131"/>
      <c r="BT167" s="131"/>
      <c r="BU167" s="131"/>
      <c r="BV167" s="131">
        <f t="shared" si="258"/>
        <v>0</v>
      </c>
      <c r="BW167" s="131"/>
      <c r="BX167" s="131"/>
      <c r="BY167" s="131"/>
      <c r="BZ167" s="131">
        <f t="shared" si="259"/>
        <v>0</v>
      </c>
      <c r="CA167" s="131"/>
      <c r="CB167" s="136">
        <f t="shared" si="212"/>
        <v>160.55836672570746</v>
      </c>
      <c r="CC167" s="131">
        <f t="shared" si="213"/>
        <v>0</v>
      </c>
      <c r="CD167" s="136">
        <f t="shared" si="214"/>
        <v>0</v>
      </c>
      <c r="CE167" s="131">
        <f t="shared" si="262"/>
        <v>0</v>
      </c>
      <c r="CF167" s="136">
        <f t="shared" si="215"/>
        <v>0</v>
      </c>
      <c r="CG167" s="136"/>
      <c r="CH167" s="136">
        <f t="shared" si="261"/>
        <v>0</v>
      </c>
      <c r="CI167" s="131">
        <f t="shared" si="216"/>
        <v>0</v>
      </c>
      <c r="CJ167" s="131"/>
      <c r="CK167" s="136">
        <f t="shared" si="217"/>
        <v>0</v>
      </c>
      <c r="CL167" s="136">
        <f t="shared" si="218"/>
        <v>804.25411383551102</v>
      </c>
      <c r="CM167" s="131">
        <f t="shared" si="219"/>
        <v>0</v>
      </c>
      <c r="CN167" s="136">
        <f t="shared" si="220"/>
        <v>0</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f t="shared" si="226"/>
        <v>0</v>
      </c>
      <c r="DC167" s="131">
        <f t="shared" si="185"/>
        <v>0</v>
      </c>
      <c r="DD167" s="131">
        <f t="shared" si="227"/>
        <v>0</v>
      </c>
      <c r="DE167" s="131">
        <f t="shared" si="228"/>
        <v>0</v>
      </c>
      <c r="DF167" s="131">
        <f t="shared" si="229"/>
        <v>0</v>
      </c>
      <c r="DG167" s="131">
        <f t="shared" si="230"/>
        <v>0</v>
      </c>
      <c r="DH167" s="131"/>
      <c r="DI167" s="131"/>
      <c r="DJ167" s="131"/>
      <c r="DK167" s="137">
        <f t="shared" si="260"/>
        <v>4620.5129979953599</v>
      </c>
      <c r="DL167" s="227" t="e">
        <f t="shared" si="231"/>
        <v>#REF!</v>
      </c>
      <c r="DM167" s="227" t="e">
        <f t="shared" si="232"/>
        <v>#REF!</v>
      </c>
      <c r="DN167" s="228" t="e">
        <f t="shared" si="186"/>
        <v>#REF!</v>
      </c>
      <c r="DO167" s="228">
        <f t="shared" si="233"/>
        <v>194.35242757490622</v>
      </c>
      <c r="DP167" s="228" t="e">
        <f t="shared" si="234"/>
        <v>#REF!</v>
      </c>
      <c r="DQ167" s="228" t="e">
        <f t="shared" si="235"/>
        <v>#REF!</v>
      </c>
    </row>
    <row r="168" spans="1:121">
      <c r="A168" s="132">
        <f t="shared" si="265"/>
        <v>158</v>
      </c>
      <c r="B168" s="18">
        <f t="shared" si="236"/>
        <v>158</v>
      </c>
      <c r="C168" s="18">
        <f>IF(A168=0," ",VLOOKUP(B168,'tosafot '!$A$7:$B$234,2,0))</f>
        <v>2.2021000000000002</v>
      </c>
      <c r="D168" s="220">
        <f t="shared" si="237"/>
        <v>228</v>
      </c>
      <c r="E168" s="130">
        <f t="shared" si="238"/>
        <v>12.2026</v>
      </c>
      <c r="F168" s="126">
        <f t="shared" si="239"/>
        <v>22</v>
      </c>
      <c r="G168" s="18" t="str">
        <f t="shared" si="240"/>
        <v>התחבורה</v>
      </c>
      <c r="H168" s="189">
        <f t="shared" si="241"/>
        <v>122</v>
      </c>
      <c r="I168" s="18">
        <f t="shared" si="242"/>
        <v>1</v>
      </c>
      <c r="J168" s="18" t="str">
        <f t="shared" si="243"/>
        <v>מינהלי - עובדי מדינה</v>
      </c>
      <c r="K168" s="189">
        <f t="shared" si="244"/>
        <v>1</v>
      </c>
      <c r="L168" s="18">
        <f t="shared" si="245"/>
        <v>12</v>
      </c>
      <c r="M168" s="129" t="str">
        <f t="shared" si="246"/>
        <v>17+</v>
      </c>
      <c r="N168" s="189"/>
      <c r="O168" s="132">
        <f t="shared" si="247"/>
        <v>1012</v>
      </c>
      <c r="P168" s="127">
        <f t="shared" si="248"/>
        <v>37</v>
      </c>
      <c r="Q168" s="127">
        <f t="shared" si="249"/>
        <v>36.75</v>
      </c>
      <c r="R168" s="128">
        <f t="shared" si="250"/>
        <v>148</v>
      </c>
      <c r="S168" s="130">
        <f t="shared" si="251"/>
        <v>1.4414995494685181</v>
      </c>
      <c r="T168" s="135">
        <f t="shared" si="188"/>
        <v>0</v>
      </c>
      <c r="U168" s="127">
        <f t="shared" si="189"/>
        <v>0</v>
      </c>
      <c r="V168" s="217">
        <v>0</v>
      </c>
      <c r="W168" s="191">
        <v>0</v>
      </c>
      <c r="X168" s="133">
        <v>0</v>
      </c>
      <c r="Y168" s="131">
        <f t="shared" si="190"/>
        <v>2438.5</v>
      </c>
      <c r="Z168" s="131">
        <f t="shared" si="191"/>
        <v>1076.5966513789815</v>
      </c>
      <c r="AA168" s="242">
        <f t="shared" si="192"/>
        <v>3515.0966513789817</v>
      </c>
      <c r="AB168" s="131">
        <f t="shared" si="193"/>
        <v>0</v>
      </c>
      <c r="AC168" s="131">
        <f t="shared" si="194"/>
        <v>140.60386605515927</v>
      </c>
      <c r="AD168" s="131">
        <f t="shared" si="195"/>
        <v>0</v>
      </c>
      <c r="AE168" s="131">
        <f t="shared" si="196"/>
        <v>0</v>
      </c>
      <c r="AF168" s="131">
        <f t="shared" si="197"/>
        <v>0</v>
      </c>
      <c r="AG168" s="131">
        <f t="shared" si="198"/>
        <v>0</v>
      </c>
      <c r="AH168" s="131">
        <f t="shared" si="199"/>
        <v>0</v>
      </c>
      <c r="AI168" s="131">
        <f t="shared" si="200"/>
        <v>0</v>
      </c>
      <c r="AJ168" s="131">
        <f t="shared" si="201"/>
        <v>0</v>
      </c>
      <c r="AK168" s="131"/>
      <c r="AL168" s="131">
        <f t="shared" si="202"/>
        <v>0</v>
      </c>
      <c r="AM168" s="131"/>
      <c r="AN168" s="243">
        <f t="shared" si="203"/>
        <v>0</v>
      </c>
      <c r="AO168" s="131">
        <f t="shared" si="204"/>
        <v>0</v>
      </c>
      <c r="AP168" s="131">
        <f t="shared" si="205"/>
        <v>0</v>
      </c>
      <c r="AQ168" s="131"/>
      <c r="AR168" s="131">
        <f t="shared" si="206"/>
        <v>0</v>
      </c>
      <c r="AS168" s="131">
        <f t="shared" si="252"/>
        <v>0</v>
      </c>
      <c r="AT168" s="131">
        <f t="shared" si="207"/>
        <v>0</v>
      </c>
      <c r="AU168" s="131">
        <f t="shared" si="208"/>
        <v>0</v>
      </c>
      <c r="AV168" s="131"/>
      <c r="AW168" s="131">
        <f t="shared" si="209"/>
        <v>0</v>
      </c>
      <c r="AX168" s="131">
        <f t="shared" si="263"/>
        <v>0</v>
      </c>
      <c r="AY168" s="131">
        <f t="shared" si="210"/>
        <v>0</v>
      </c>
      <c r="AZ168" s="131"/>
      <c r="BA168" s="131">
        <f t="shared" si="264"/>
        <v>0</v>
      </c>
      <c r="BB168" s="131"/>
      <c r="BC168" s="131"/>
      <c r="BD168" s="131">
        <f t="shared" si="211"/>
        <v>0</v>
      </c>
      <c r="BE168" s="131"/>
      <c r="BF168" s="131">
        <f t="shared" si="253"/>
        <v>0</v>
      </c>
      <c r="BG168" s="131">
        <f t="shared" si="254"/>
        <v>0</v>
      </c>
      <c r="BH168" s="131"/>
      <c r="BI168" s="131"/>
      <c r="BJ168" s="131"/>
      <c r="BK168" s="131">
        <f t="shared" si="255"/>
        <v>0</v>
      </c>
      <c r="BL168" s="131"/>
      <c r="BM168" s="131"/>
      <c r="BN168" s="131">
        <f t="shared" si="256"/>
        <v>0</v>
      </c>
      <c r="BO168" s="131"/>
      <c r="BP168" s="131">
        <f t="shared" si="257"/>
        <v>0</v>
      </c>
      <c r="BQ168" s="131"/>
      <c r="BR168" s="131"/>
      <c r="BS168" s="131"/>
      <c r="BT168" s="131"/>
      <c r="BU168" s="131"/>
      <c r="BV168" s="131">
        <f t="shared" si="258"/>
        <v>0</v>
      </c>
      <c r="BW168" s="131"/>
      <c r="BX168" s="131"/>
      <c r="BY168" s="131"/>
      <c r="BZ168" s="131">
        <f t="shared" si="259"/>
        <v>0</v>
      </c>
      <c r="CA168" s="131"/>
      <c r="CB168" s="136">
        <f t="shared" si="212"/>
        <v>160.55836672570746</v>
      </c>
      <c r="CC168" s="131">
        <f t="shared" si="213"/>
        <v>0</v>
      </c>
      <c r="CD168" s="136">
        <f t="shared" si="214"/>
        <v>0</v>
      </c>
      <c r="CE168" s="131">
        <f t="shared" si="262"/>
        <v>0</v>
      </c>
      <c r="CF168" s="136">
        <f t="shared" si="215"/>
        <v>0</v>
      </c>
      <c r="CG168" s="136"/>
      <c r="CH168" s="136">
        <f t="shared" si="261"/>
        <v>0</v>
      </c>
      <c r="CI168" s="131">
        <f t="shared" si="216"/>
        <v>0</v>
      </c>
      <c r="CJ168" s="131"/>
      <c r="CK168" s="136">
        <f t="shared" si="217"/>
        <v>0</v>
      </c>
      <c r="CL168" s="136">
        <f t="shared" si="218"/>
        <v>804.25411383551102</v>
      </c>
      <c r="CM168" s="131">
        <f t="shared" si="219"/>
        <v>0</v>
      </c>
      <c r="CN168" s="136">
        <f t="shared" si="220"/>
        <v>0</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f t="shared" si="226"/>
        <v>0</v>
      </c>
      <c r="DC168" s="131">
        <f t="shared" si="185"/>
        <v>0</v>
      </c>
      <c r="DD168" s="131">
        <f t="shared" si="227"/>
        <v>0</v>
      </c>
      <c r="DE168" s="131">
        <f t="shared" si="228"/>
        <v>0</v>
      </c>
      <c r="DF168" s="131">
        <f t="shared" si="229"/>
        <v>0</v>
      </c>
      <c r="DG168" s="131">
        <f t="shared" si="230"/>
        <v>0</v>
      </c>
      <c r="DH168" s="131"/>
      <c r="DI168" s="131"/>
      <c r="DJ168" s="131"/>
      <c r="DK168" s="137">
        <f t="shared" si="260"/>
        <v>4620.5129979953599</v>
      </c>
      <c r="DL168" s="227" t="e">
        <f t="shared" si="231"/>
        <v>#REF!</v>
      </c>
      <c r="DM168" s="227" t="e">
        <f t="shared" si="232"/>
        <v>#REF!</v>
      </c>
      <c r="DN168" s="228" t="e">
        <f t="shared" si="186"/>
        <v>#REF!</v>
      </c>
      <c r="DO168" s="228">
        <f t="shared" si="233"/>
        <v>194.35242757490622</v>
      </c>
      <c r="DP168" s="228" t="e">
        <f t="shared" si="234"/>
        <v>#REF!</v>
      </c>
      <c r="DQ168" s="228" t="e">
        <f t="shared" si="235"/>
        <v>#REF!</v>
      </c>
    </row>
    <row r="169" spans="1:121">
      <c r="A169" s="132">
        <f t="shared" si="265"/>
        <v>159</v>
      </c>
      <c r="B169" s="18">
        <f t="shared" si="236"/>
        <v>159</v>
      </c>
      <c r="C169" s="18">
        <f>IF(A169=0," ",VLOOKUP(B169,'tosafot '!$A$7:$B$234,2,0))</f>
        <v>3.2021000000000002</v>
      </c>
      <c r="D169" s="220">
        <f t="shared" si="237"/>
        <v>228</v>
      </c>
      <c r="E169" s="130">
        <f t="shared" si="238"/>
        <v>12.2026</v>
      </c>
      <c r="F169" s="126">
        <f t="shared" si="239"/>
        <v>22</v>
      </c>
      <c r="G169" s="18" t="str">
        <f t="shared" si="240"/>
        <v>התחבורה</v>
      </c>
      <c r="H169" s="189">
        <f t="shared" si="241"/>
        <v>122</v>
      </c>
      <c r="I169" s="18">
        <f t="shared" si="242"/>
        <v>1</v>
      </c>
      <c r="J169" s="18" t="str">
        <f t="shared" si="243"/>
        <v>מינהלי - עובדי מדינה</v>
      </c>
      <c r="K169" s="189">
        <f t="shared" si="244"/>
        <v>1</v>
      </c>
      <c r="L169" s="18">
        <f t="shared" si="245"/>
        <v>12</v>
      </c>
      <c r="M169" s="129" t="str">
        <f t="shared" si="246"/>
        <v>17+</v>
      </c>
      <c r="N169" s="189"/>
      <c r="O169" s="132">
        <f t="shared" si="247"/>
        <v>1012</v>
      </c>
      <c r="P169" s="127">
        <f t="shared" si="248"/>
        <v>37</v>
      </c>
      <c r="Q169" s="127">
        <f t="shared" si="249"/>
        <v>36.75</v>
      </c>
      <c r="R169" s="128">
        <f t="shared" si="250"/>
        <v>148</v>
      </c>
      <c r="S169" s="130">
        <f t="shared" si="251"/>
        <v>1.4414995494685181</v>
      </c>
      <c r="T169" s="135">
        <f t="shared" si="188"/>
        <v>0</v>
      </c>
      <c r="U169" s="127">
        <f t="shared" si="189"/>
        <v>0</v>
      </c>
      <c r="V169" s="217">
        <v>0</v>
      </c>
      <c r="W169" s="191">
        <v>0</v>
      </c>
      <c r="X169" s="133">
        <v>0</v>
      </c>
      <c r="Y169" s="131">
        <f t="shared" si="190"/>
        <v>2438.5</v>
      </c>
      <c r="Z169" s="131">
        <f t="shared" si="191"/>
        <v>1076.5966513789815</v>
      </c>
      <c r="AA169" s="242">
        <f t="shared" si="192"/>
        <v>3515.0966513789817</v>
      </c>
      <c r="AB169" s="131">
        <f t="shared" si="193"/>
        <v>0</v>
      </c>
      <c r="AC169" s="131">
        <f t="shared" si="194"/>
        <v>140.60386605515927</v>
      </c>
      <c r="AD169" s="131">
        <f t="shared" si="195"/>
        <v>0</v>
      </c>
      <c r="AE169" s="131">
        <f t="shared" si="196"/>
        <v>0</v>
      </c>
      <c r="AF169" s="131">
        <f t="shared" si="197"/>
        <v>0</v>
      </c>
      <c r="AG169" s="131">
        <f t="shared" si="198"/>
        <v>0</v>
      </c>
      <c r="AH169" s="131">
        <f t="shared" si="199"/>
        <v>0</v>
      </c>
      <c r="AI169" s="131">
        <f t="shared" si="200"/>
        <v>0</v>
      </c>
      <c r="AJ169" s="131">
        <f t="shared" si="201"/>
        <v>0</v>
      </c>
      <c r="AK169" s="131"/>
      <c r="AL169" s="131">
        <f t="shared" si="202"/>
        <v>0</v>
      </c>
      <c r="AM169" s="131"/>
      <c r="AN169" s="243">
        <f t="shared" si="203"/>
        <v>0</v>
      </c>
      <c r="AO169" s="131">
        <f t="shared" si="204"/>
        <v>0</v>
      </c>
      <c r="AP169" s="131">
        <f t="shared" si="205"/>
        <v>0</v>
      </c>
      <c r="AQ169" s="131"/>
      <c r="AR169" s="131">
        <f t="shared" si="206"/>
        <v>0</v>
      </c>
      <c r="AS169" s="131">
        <f t="shared" si="252"/>
        <v>0</v>
      </c>
      <c r="AT169" s="131">
        <f t="shared" si="207"/>
        <v>0</v>
      </c>
      <c r="AU169" s="131">
        <f t="shared" si="208"/>
        <v>0</v>
      </c>
      <c r="AV169" s="131"/>
      <c r="AW169" s="131">
        <f t="shared" si="209"/>
        <v>0</v>
      </c>
      <c r="AX169" s="131">
        <f t="shared" si="263"/>
        <v>0</v>
      </c>
      <c r="AY169" s="131">
        <f t="shared" si="210"/>
        <v>0</v>
      </c>
      <c r="AZ169" s="131"/>
      <c r="BA169" s="131">
        <f t="shared" si="264"/>
        <v>0</v>
      </c>
      <c r="BB169" s="131"/>
      <c r="BC169" s="131"/>
      <c r="BD169" s="131">
        <f t="shared" si="211"/>
        <v>0</v>
      </c>
      <c r="BE169" s="131"/>
      <c r="BF169" s="131">
        <f t="shared" si="253"/>
        <v>0</v>
      </c>
      <c r="BG169" s="131">
        <f t="shared" si="254"/>
        <v>0</v>
      </c>
      <c r="BH169" s="131"/>
      <c r="BI169" s="131"/>
      <c r="BJ169" s="131"/>
      <c r="BK169" s="131">
        <f t="shared" si="255"/>
        <v>0</v>
      </c>
      <c r="BL169" s="131"/>
      <c r="BM169" s="131"/>
      <c r="BN169" s="131">
        <f t="shared" si="256"/>
        <v>0</v>
      </c>
      <c r="BO169" s="131"/>
      <c r="BP169" s="131">
        <f t="shared" si="257"/>
        <v>0</v>
      </c>
      <c r="BQ169" s="131"/>
      <c r="BR169" s="131"/>
      <c r="BS169" s="131"/>
      <c r="BT169" s="131"/>
      <c r="BU169" s="131"/>
      <c r="BV169" s="131">
        <f t="shared" si="258"/>
        <v>0</v>
      </c>
      <c r="BW169" s="131"/>
      <c r="BX169" s="131"/>
      <c r="BY169" s="131"/>
      <c r="BZ169" s="131">
        <f t="shared" si="259"/>
        <v>0</v>
      </c>
      <c r="CA169" s="131"/>
      <c r="CB169" s="136">
        <f t="shared" si="212"/>
        <v>160.55836672570746</v>
      </c>
      <c r="CC169" s="131">
        <f t="shared" si="213"/>
        <v>0</v>
      </c>
      <c r="CD169" s="136">
        <f t="shared" si="214"/>
        <v>0</v>
      </c>
      <c r="CE169" s="131">
        <f t="shared" si="262"/>
        <v>0</v>
      </c>
      <c r="CF169" s="136">
        <f t="shared" si="215"/>
        <v>0</v>
      </c>
      <c r="CG169" s="136"/>
      <c r="CH169" s="136">
        <f t="shared" si="261"/>
        <v>0</v>
      </c>
      <c r="CI169" s="131">
        <f t="shared" si="216"/>
        <v>0</v>
      </c>
      <c r="CJ169" s="131"/>
      <c r="CK169" s="136">
        <f t="shared" si="217"/>
        <v>0</v>
      </c>
      <c r="CL169" s="136">
        <f t="shared" si="218"/>
        <v>804.25411383551102</v>
      </c>
      <c r="CM169" s="131">
        <f t="shared" si="219"/>
        <v>0</v>
      </c>
      <c r="CN169" s="136">
        <f t="shared" si="220"/>
        <v>0</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f t="shared" si="226"/>
        <v>0</v>
      </c>
      <c r="DC169" s="131">
        <f t="shared" si="185"/>
        <v>0</v>
      </c>
      <c r="DD169" s="131">
        <f t="shared" si="227"/>
        <v>0</v>
      </c>
      <c r="DE169" s="131">
        <f t="shared" si="228"/>
        <v>0</v>
      </c>
      <c r="DF169" s="131">
        <f t="shared" si="229"/>
        <v>0</v>
      </c>
      <c r="DG169" s="131">
        <f t="shared" si="230"/>
        <v>0</v>
      </c>
      <c r="DH169" s="131"/>
      <c r="DI169" s="131"/>
      <c r="DJ169" s="131"/>
      <c r="DK169" s="137">
        <f t="shared" si="260"/>
        <v>4620.5129979953599</v>
      </c>
      <c r="DL169" s="227" t="e">
        <f t="shared" si="231"/>
        <v>#REF!</v>
      </c>
      <c r="DM169" s="227" t="e">
        <f t="shared" si="232"/>
        <v>#REF!</v>
      </c>
      <c r="DN169" s="228" t="e">
        <f t="shared" si="186"/>
        <v>#REF!</v>
      </c>
      <c r="DO169" s="228">
        <f t="shared" si="233"/>
        <v>194.35242757490622</v>
      </c>
      <c r="DP169" s="228" t="e">
        <f t="shared" si="234"/>
        <v>#REF!</v>
      </c>
      <c r="DQ169" s="228" t="e">
        <f t="shared" si="235"/>
        <v>#REF!</v>
      </c>
    </row>
    <row r="170" spans="1:121">
      <c r="A170" s="132">
        <f t="shared" si="265"/>
        <v>160</v>
      </c>
      <c r="B170" s="18">
        <f t="shared" si="236"/>
        <v>160</v>
      </c>
      <c r="C170" s="18">
        <f>IF(A170=0," ",VLOOKUP(B170,'tosafot '!$A$7:$B$234,2,0))</f>
        <v>4.2020999999999997</v>
      </c>
      <c r="D170" s="220">
        <f t="shared" si="237"/>
        <v>228</v>
      </c>
      <c r="E170" s="130">
        <f t="shared" si="238"/>
        <v>12.2026</v>
      </c>
      <c r="F170" s="126">
        <f t="shared" si="239"/>
        <v>22</v>
      </c>
      <c r="G170" s="18" t="str">
        <f t="shared" si="240"/>
        <v>התחבורה</v>
      </c>
      <c r="H170" s="189">
        <f t="shared" si="241"/>
        <v>122</v>
      </c>
      <c r="I170" s="18">
        <f t="shared" si="242"/>
        <v>1</v>
      </c>
      <c r="J170" s="18" t="str">
        <f t="shared" si="243"/>
        <v>מינהלי - עובדי מדינה</v>
      </c>
      <c r="K170" s="189">
        <f t="shared" si="244"/>
        <v>1</v>
      </c>
      <c r="L170" s="18">
        <f t="shared" si="245"/>
        <v>12</v>
      </c>
      <c r="M170" s="129" t="str">
        <f t="shared" si="246"/>
        <v>17+</v>
      </c>
      <c r="N170" s="189"/>
      <c r="O170" s="132">
        <f t="shared" si="247"/>
        <v>1012</v>
      </c>
      <c r="P170" s="127">
        <f t="shared" si="248"/>
        <v>37</v>
      </c>
      <c r="Q170" s="127">
        <f t="shared" si="249"/>
        <v>36.75</v>
      </c>
      <c r="R170" s="128">
        <f t="shared" si="250"/>
        <v>148</v>
      </c>
      <c r="S170" s="130">
        <f t="shared" si="251"/>
        <v>1.4414995494685181</v>
      </c>
      <c r="T170" s="135">
        <f t="shared" si="188"/>
        <v>0</v>
      </c>
      <c r="U170" s="127">
        <f t="shared" si="189"/>
        <v>0</v>
      </c>
      <c r="V170" s="217">
        <v>0</v>
      </c>
      <c r="W170" s="191">
        <v>0</v>
      </c>
      <c r="X170" s="133">
        <v>0</v>
      </c>
      <c r="Y170" s="131">
        <f t="shared" si="190"/>
        <v>2438.5</v>
      </c>
      <c r="Z170" s="131">
        <f t="shared" si="191"/>
        <v>1076.5966513789815</v>
      </c>
      <c r="AA170" s="242">
        <f t="shared" si="192"/>
        <v>3515.0966513789817</v>
      </c>
      <c r="AB170" s="131">
        <f t="shared" si="193"/>
        <v>0</v>
      </c>
      <c r="AC170" s="131">
        <f t="shared" si="194"/>
        <v>140.60386605515927</v>
      </c>
      <c r="AD170" s="131">
        <f t="shared" si="195"/>
        <v>0</v>
      </c>
      <c r="AE170" s="131">
        <f t="shared" si="196"/>
        <v>0</v>
      </c>
      <c r="AF170" s="131">
        <f t="shared" si="197"/>
        <v>0</v>
      </c>
      <c r="AG170" s="131">
        <f t="shared" si="198"/>
        <v>0</v>
      </c>
      <c r="AH170" s="131">
        <f t="shared" si="199"/>
        <v>0</v>
      </c>
      <c r="AI170" s="131">
        <f t="shared" si="200"/>
        <v>0</v>
      </c>
      <c r="AJ170" s="131">
        <f t="shared" si="201"/>
        <v>0</v>
      </c>
      <c r="AK170" s="131"/>
      <c r="AL170" s="131">
        <f t="shared" si="202"/>
        <v>0</v>
      </c>
      <c r="AM170" s="131"/>
      <c r="AN170" s="243">
        <f t="shared" si="203"/>
        <v>0</v>
      </c>
      <c r="AO170" s="131">
        <f t="shared" si="204"/>
        <v>0</v>
      </c>
      <c r="AP170" s="131">
        <f t="shared" si="205"/>
        <v>0</v>
      </c>
      <c r="AQ170" s="131"/>
      <c r="AR170" s="131">
        <f t="shared" si="206"/>
        <v>0</v>
      </c>
      <c r="AS170" s="131">
        <f t="shared" si="252"/>
        <v>0</v>
      </c>
      <c r="AT170" s="131">
        <f t="shared" si="207"/>
        <v>0</v>
      </c>
      <c r="AU170" s="131">
        <f t="shared" si="208"/>
        <v>0</v>
      </c>
      <c r="AV170" s="131"/>
      <c r="AW170" s="131">
        <f t="shared" si="209"/>
        <v>0</v>
      </c>
      <c r="AX170" s="131">
        <f t="shared" si="263"/>
        <v>0</v>
      </c>
      <c r="AY170" s="131">
        <f t="shared" si="210"/>
        <v>0</v>
      </c>
      <c r="AZ170" s="131"/>
      <c r="BA170" s="131">
        <f t="shared" si="264"/>
        <v>0</v>
      </c>
      <c r="BB170" s="131"/>
      <c r="BC170" s="131"/>
      <c r="BD170" s="131">
        <f t="shared" si="211"/>
        <v>0</v>
      </c>
      <c r="BE170" s="131"/>
      <c r="BF170" s="131">
        <f t="shared" si="253"/>
        <v>0</v>
      </c>
      <c r="BG170" s="131">
        <f t="shared" si="254"/>
        <v>0</v>
      </c>
      <c r="BH170" s="131"/>
      <c r="BI170" s="131"/>
      <c r="BJ170" s="131"/>
      <c r="BK170" s="131">
        <f t="shared" si="255"/>
        <v>0</v>
      </c>
      <c r="BL170" s="131"/>
      <c r="BM170" s="131"/>
      <c r="BN170" s="131">
        <f t="shared" si="256"/>
        <v>0</v>
      </c>
      <c r="BO170" s="131"/>
      <c r="BP170" s="131">
        <f t="shared" si="257"/>
        <v>0</v>
      </c>
      <c r="BQ170" s="131"/>
      <c r="BR170" s="131"/>
      <c r="BS170" s="131"/>
      <c r="BT170" s="131"/>
      <c r="BU170" s="131"/>
      <c r="BV170" s="131">
        <f t="shared" si="258"/>
        <v>0</v>
      </c>
      <c r="BW170" s="131"/>
      <c r="BX170" s="131"/>
      <c r="BY170" s="131"/>
      <c r="BZ170" s="131">
        <f t="shared" si="259"/>
        <v>0</v>
      </c>
      <c r="CA170" s="131"/>
      <c r="CB170" s="136">
        <f t="shared" si="212"/>
        <v>160.55836672570746</v>
      </c>
      <c r="CC170" s="131">
        <f t="shared" si="213"/>
        <v>0</v>
      </c>
      <c r="CD170" s="136">
        <f t="shared" si="214"/>
        <v>0</v>
      </c>
      <c r="CE170" s="131">
        <f t="shared" si="262"/>
        <v>0</v>
      </c>
      <c r="CF170" s="136">
        <f t="shared" si="215"/>
        <v>0</v>
      </c>
      <c r="CG170" s="136"/>
      <c r="CH170" s="136">
        <f t="shared" si="261"/>
        <v>0</v>
      </c>
      <c r="CI170" s="131">
        <f t="shared" si="216"/>
        <v>0</v>
      </c>
      <c r="CJ170" s="131"/>
      <c r="CK170" s="136">
        <f t="shared" si="217"/>
        <v>0</v>
      </c>
      <c r="CL170" s="136">
        <f t="shared" si="218"/>
        <v>804.25411383551102</v>
      </c>
      <c r="CM170" s="131">
        <f t="shared" si="219"/>
        <v>0</v>
      </c>
      <c r="CN170" s="136">
        <f t="shared" si="220"/>
        <v>0</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f t="shared" si="226"/>
        <v>0</v>
      </c>
      <c r="DC170" s="131">
        <f t="shared" si="185"/>
        <v>0</v>
      </c>
      <c r="DD170" s="131">
        <f t="shared" si="227"/>
        <v>0</v>
      </c>
      <c r="DE170" s="131">
        <f t="shared" si="228"/>
        <v>0</v>
      </c>
      <c r="DF170" s="131">
        <f t="shared" si="229"/>
        <v>0</v>
      </c>
      <c r="DG170" s="131">
        <f t="shared" si="230"/>
        <v>0</v>
      </c>
      <c r="DH170" s="131"/>
      <c r="DI170" s="131"/>
      <c r="DJ170" s="131"/>
      <c r="DK170" s="137">
        <f t="shared" si="260"/>
        <v>4620.5129979953599</v>
      </c>
      <c r="DL170" s="227" t="e">
        <f t="shared" si="231"/>
        <v>#REF!</v>
      </c>
      <c r="DM170" s="227" t="e">
        <f t="shared" si="232"/>
        <v>#REF!</v>
      </c>
      <c r="DN170" s="228" t="e">
        <f t="shared" si="186"/>
        <v>#REF!</v>
      </c>
      <c r="DO170" s="228">
        <f t="shared" si="233"/>
        <v>194.35242757490622</v>
      </c>
      <c r="DP170" s="228" t="e">
        <f t="shared" si="234"/>
        <v>#REF!</v>
      </c>
      <c r="DQ170" s="228" t="e">
        <f t="shared" si="235"/>
        <v>#REF!</v>
      </c>
    </row>
    <row r="171" spans="1:121">
      <c r="A171" s="132">
        <f t="shared" si="265"/>
        <v>161</v>
      </c>
      <c r="B171" s="18">
        <f t="shared" si="236"/>
        <v>161</v>
      </c>
      <c r="C171" s="18">
        <f>IF(A171=0," ",VLOOKUP(B171,'tosafot '!$A$7:$B$234,2,0))</f>
        <v>5.2020999999999997</v>
      </c>
      <c r="D171" s="220">
        <f t="shared" si="237"/>
        <v>228</v>
      </c>
      <c r="E171" s="130">
        <f t="shared" si="238"/>
        <v>12.2026</v>
      </c>
      <c r="F171" s="126">
        <f t="shared" si="239"/>
        <v>22</v>
      </c>
      <c r="G171" s="18" t="str">
        <f t="shared" si="240"/>
        <v>התחבורה</v>
      </c>
      <c r="H171" s="189">
        <f t="shared" si="241"/>
        <v>122</v>
      </c>
      <c r="I171" s="18">
        <f t="shared" si="242"/>
        <v>1</v>
      </c>
      <c r="J171" s="18" t="str">
        <f t="shared" si="243"/>
        <v>מינהלי - עובדי מדינה</v>
      </c>
      <c r="K171" s="189">
        <f t="shared" si="244"/>
        <v>1</v>
      </c>
      <c r="L171" s="18">
        <f t="shared" si="245"/>
        <v>12</v>
      </c>
      <c r="M171" s="129" t="str">
        <f t="shared" si="246"/>
        <v>17+</v>
      </c>
      <c r="N171" s="189"/>
      <c r="O171" s="132">
        <f t="shared" si="247"/>
        <v>1012</v>
      </c>
      <c r="P171" s="127">
        <f t="shared" si="248"/>
        <v>37</v>
      </c>
      <c r="Q171" s="127">
        <f t="shared" si="249"/>
        <v>36.75</v>
      </c>
      <c r="R171" s="128">
        <f t="shared" si="250"/>
        <v>148</v>
      </c>
      <c r="S171" s="130">
        <f t="shared" si="251"/>
        <v>1.4414995494685181</v>
      </c>
      <c r="T171" s="135">
        <f t="shared" si="188"/>
        <v>0</v>
      </c>
      <c r="U171" s="127">
        <f t="shared" si="189"/>
        <v>0</v>
      </c>
      <c r="V171" s="217">
        <v>0</v>
      </c>
      <c r="W171" s="191">
        <v>0</v>
      </c>
      <c r="X171" s="133">
        <v>0</v>
      </c>
      <c r="Y171" s="131">
        <f t="shared" si="190"/>
        <v>2438.5</v>
      </c>
      <c r="Z171" s="131">
        <f t="shared" si="191"/>
        <v>1076.5966513789815</v>
      </c>
      <c r="AA171" s="242">
        <f t="shared" si="192"/>
        <v>3515.0966513789817</v>
      </c>
      <c r="AB171" s="131">
        <f t="shared" si="193"/>
        <v>0</v>
      </c>
      <c r="AC171" s="131">
        <f t="shared" si="194"/>
        <v>140.60386605515927</v>
      </c>
      <c r="AD171" s="131">
        <f t="shared" si="195"/>
        <v>0</v>
      </c>
      <c r="AE171" s="131">
        <f t="shared" si="196"/>
        <v>0</v>
      </c>
      <c r="AF171" s="131">
        <f t="shared" si="197"/>
        <v>0</v>
      </c>
      <c r="AG171" s="131">
        <f t="shared" si="198"/>
        <v>0</v>
      </c>
      <c r="AH171" s="131">
        <f t="shared" si="199"/>
        <v>0</v>
      </c>
      <c r="AI171" s="131">
        <f t="shared" si="200"/>
        <v>0</v>
      </c>
      <c r="AJ171" s="131">
        <f t="shared" si="201"/>
        <v>0</v>
      </c>
      <c r="AK171" s="131"/>
      <c r="AL171" s="131">
        <f t="shared" si="202"/>
        <v>0</v>
      </c>
      <c r="AM171" s="131"/>
      <c r="AN171" s="243">
        <f t="shared" si="203"/>
        <v>0</v>
      </c>
      <c r="AO171" s="131">
        <f t="shared" si="204"/>
        <v>0</v>
      </c>
      <c r="AP171" s="131">
        <f t="shared" si="205"/>
        <v>0</v>
      </c>
      <c r="AQ171" s="131"/>
      <c r="AR171" s="131">
        <f t="shared" si="206"/>
        <v>0</v>
      </c>
      <c r="AS171" s="131">
        <f t="shared" si="252"/>
        <v>0</v>
      </c>
      <c r="AT171" s="131">
        <f t="shared" si="207"/>
        <v>0</v>
      </c>
      <c r="AU171" s="131">
        <f t="shared" si="208"/>
        <v>0</v>
      </c>
      <c r="AV171" s="131"/>
      <c r="AW171" s="131">
        <f t="shared" si="209"/>
        <v>0</v>
      </c>
      <c r="AX171" s="131">
        <f t="shared" si="263"/>
        <v>0</v>
      </c>
      <c r="AY171" s="131">
        <f t="shared" si="210"/>
        <v>0</v>
      </c>
      <c r="AZ171" s="131"/>
      <c r="BA171" s="131">
        <f t="shared" si="264"/>
        <v>0</v>
      </c>
      <c r="BB171" s="131"/>
      <c r="BC171" s="131"/>
      <c r="BD171" s="131">
        <f t="shared" si="211"/>
        <v>0</v>
      </c>
      <c r="BE171" s="131"/>
      <c r="BF171" s="131">
        <f t="shared" si="253"/>
        <v>0</v>
      </c>
      <c r="BG171" s="131">
        <f t="shared" si="254"/>
        <v>0</v>
      </c>
      <c r="BH171" s="131"/>
      <c r="BI171" s="131"/>
      <c r="BJ171" s="131"/>
      <c r="BK171" s="131">
        <f t="shared" si="255"/>
        <v>0</v>
      </c>
      <c r="BL171" s="131"/>
      <c r="BM171" s="131"/>
      <c r="BN171" s="131">
        <f t="shared" si="256"/>
        <v>0</v>
      </c>
      <c r="BO171" s="131"/>
      <c r="BP171" s="131">
        <f t="shared" si="257"/>
        <v>0</v>
      </c>
      <c r="BQ171" s="131"/>
      <c r="BR171" s="131"/>
      <c r="BS171" s="131"/>
      <c r="BT171" s="131"/>
      <c r="BU171" s="131"/>
      <c r="BV171" s="131">
        <f t="shared" si="258"/>
        <v>0</v>
      </c>
      <c r="BW171" s="131"/>
      <c r="BX171" s="131"/>
      <c r="BY171" s="131"/>
      <c r="BZ171" s="131">
        <f t="shared" si="259"/>
        <v>0</v>
      </c>
      <c r="CA171" s="131"/>
      <c r="CB171" s="136">
        <f t="shared" si="212"/>
        <v>160.55836672570746</v>
      </c>
      <c r="CC171" s="131">
        <f t="shared" si="213"/>
        <v>0</v>
      </c>
      <c r="CD171" s="136">
        <f t="shared" si="214"/>
        <v>0</v>
      </c>
      <c r="CE171" s="131">
        <f t="shared" si="262"/>
        <v>0</v>
      </c>
      <c r="CF171" s="136">
        <f t="shared" si="215"/>
        <v>0</v>
      </c>
      <c r="CG171" s="136"/>
      <c r="CH171" s="136">
        <f t="shared" si="261"/>
        <v>0</v>
      </c>
      <c r="CI171" s="131">
        <f t="shared" si="216"/>
        <v>0</v>
      </c>
      <c r="CJ171" s="131"/>
      <c r="CK171" s="136">
        <f t="shared" si="217"/>
        <v>0</v>
      </c>
      <c r="CL171" s="136">
        <f t="shared" si="218"/>
        <v>804.25411383551102</v>
      </c>
      <c r="CM171" s="131">
        <f t="shared" si="219"/>
        <v>0</v>
      </c>
      <c r="CN171" s="136">
        <f t="shared" si="220"/>
        <v>0</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f t="shared" si="226"/>
        <v>0</v>
      </c>
      <c r="DC171" s="131">
        <f t="shared" si="185"/>
        <v>0</v>
      </c>
      <c r="DD171" s="131">
        <f t="shared" si="227"/>
        <v>0</v>
      </c>
      <c r="DE171" s="131">
        <f t="shared" si="228"/>
        <v>0</v>
      </c>
      <c r="DF171" s="131">
        <f t="shared" si="229"/>
        <v>0</v>
      </c>
      <c r="DG171" s="131">
        <f t="shared" si="230"/>
        <v>0</v>
      </c>
      <c r="DH171" s="131"/>
      <c r="DI171" s="131"/>
      <c r="DJ171" s="131"/>
      <c r="DK171" s="137">
        <f t="shared" si="260"/>
        <v>4620.5129979953599</v>
      </c>
      <c r="DL171" s="227" t="e">
        <f t="shared" si="231"/>
        <v>#REF!</v>
      </c>
      <c r="DM171" s="227" t="e">
        <f t="shared" si="232"/>
        <v>#REF!</v>
      </c>
      <c r="DN171" s="228" t="e">
        <f t="shared" si="186"/>
        <v>#REF!</v>
      </c>
      <c r="DO171" s="228">
        <f t="shared" si="233"/>
        <v>194.35242757490622</v>
      </c>
      <c r="DP171" s="228" t="e">
        <f t="shared" si="234"/>
        <v>#REF!</v>
      </c>
      <c r="DQ171" s="228" t="e">
        <f t="shared" si="235"/>
        <v>#REF!</v>
      </c>
    </row>
    <row r="172" spans="1:121">
      <c r="A172" s="132">
        <f t="shared" si="265"/>
        <v>162</v>
      </c>
      <c r="B172" s="18">
        <f t="shared" si="236"/>
        <v>162</v>
      </c>
      <c r="C172" s="18">
        <f>IF(A172=0," ",VLOOKUP(B172,'tosafot '!$A$7:$B$234,2,0))</f>
        <v>6.2020999999999997</v>
      </c>
      <c r="D172" s="220">
        <f t="shared" si="237"/>
        <v>228</v>
      </c>
      <c r="E172" s="130">
        <f t="shared" si="238"/>
        <v>12.2026</v>
      </c>
      <c r="F172" s="126">
        <f t="shared" si="239"/>
        <v>22</v>
      </c>
      <c r="G172" s="18" t="str">
        <f t="shared" si="240"/>
        <v>התחבורה</v>
      </c>
      <c r="H172" s="189">
        <f t="shared" si="241"/>
        <v>122</v>
      </c>
      <c r="I172" s="18">
        <f t="shared" si="242"/>
        <v>1</v>
      </c>
      <c r="J172" s="18" t="str">
        <f t="shared" si="243"/>
        <v>מינהלי - עובדי מדינה</v>
      </c>
      <c r="K172" s="189">
        <f t="shared" si="244"/>
        <v>1</v>
      </c>
      <c r="L172" s="18">
        <f t="shared" si="245"/>
        <v>12</v>
      </c>
      <c r="M172" s="129" t="str">
        <f t="shared" si="246"/>
        <v>17+</v>
      </c>
      <c r="N172" s="189"/>
      <c r="O172" s="132">
        <f t="shared" si="247"/>
        <v>1012</v>
      </c>
      <c r="P172" s="127">
        <f t="shared" si="248"/>
        <v>37</v>
      </c>
      <c r="Q172" s="127">
        <f t="shared" si="249"/>
        <v>36.75</v>
      </c>
      <c r="R172" s="128">
        <f t="shared" si="250"/>
        <v>148</v>
      </c>
      <c r="S172" s="130">
        <f t="shared" si="251"/>
        <v>1.4414995494685181</v>
      </c>
      <c r="T172" s="135">
        <f t="shared" si="188"/>
        <v>0</v>
      </c>
      <c r="U172" s="127">
        <f t="shared" si="189"/>
        <v>0</v>
      </c>
      <c r="V172" s="217">
        <v>0</v>
      </c>
      <c r="W172" s="191">
        <v>0</v>
      </c>
      <c r="X172" s="133">
        <v>0</v>
      </c>
      <c r="Y172" s="131">
        <f t="shared" si="190"/>
        <v>2438.5</v>
      </c>
      <c r="Z172" s="131">
        <f t="shared" si="191"/>
        <v>1076.5966513789815</v>
      </c>
      <c r="AA172" s="242">
        <f t="shared" si="192"/>
        <v>3515.0966513789817</v>
      </c>
      <c r="AB172" s="131">
        <f t="shared" si="193"/>
        <v>0</v>
      </c>
      <c r="AC172" s="131">
        <f t="shared" si="194"/>
        <v>140.60386605515927</v>
      </c>
      <c r="AD172" s="131">
        <f t="shared" si="195"/>
        <v>0</v>
      </c>
      <c r="AE172" s="131">
        <f t="shared" si="196"/>
        <v>0</v>
      </c>
      <c r="AF172" s="131">
        <f t="shared" si="197"/>
        <v>0</v>
      </c>
      <c r="AG172" s="131">
        <f t="shared" si="198"/>
        <v>0</v>
      </c>
      <c r="AH172" s="131">
        <f t="shared" si="199"/>
        <v>0</v>
      </c>
      <c r="AI172" s="131">
        <f t="shared" si="200"/>
        <v>0</v>
      </c>
      <c r="AJ172" s="131">
        <f t="shared" si="201"/>
        <v>0</v>
      </c>
      <c r="AK172" s="131"/>
      <c r="AL172" s="131">
        <f t="shared" si="202"/>
        <v>0</v>
      </c>
      <c r="AM172" s="131"/>
      <c r="AN172" s="243">
        <f t="shared" si="203"/>
        <v>0</v>
      </c>
      <c r="AO172" s="131">
        <f t="shared" si="204"/>
        <v>0</v>
      </c>
      <c r="AP172" s="131">
        <f t="shared" si="205"/>
        <v>0</v>
      </c>
      <c r="AQ172" s="131"/>
      <c r="AR172" s="131">
        <f t="shared" si="206"/>
        <v>0</v>
      </c>
      <c r="AS172" s="131">
        <f t="shared" si="252"/>
        <v>0</v>
      </c>
      <c r="AT172" s="131">
        <f t="shared" si="207"/>
        <v>0</v>
      </c>
      <c r="AU172" s="131">
        <f t="shared" si="208"/>
        <v>0</v>
      </c>
      <c r="AV172" s="131"/>
      <c r="AW172" s="131">
        <f t="shared" si="209"/>
        <v>0</v>
      </c>
      <c r="AX172" s="131">
        <f t="shared" si="263"/>
        <v>0</v>
      </c>
      <c r="AY172" s="131">
        <f t="shared" si="210"/>
        <v>0</v>
      </c>
      <c r="AZ172" s="131"/>
      <c r="BA172" s="131">
        <f t="shared" si="264"/>
        <v>0</v>
      </c>
      <c r="BB172" s="131"/>
      <c r="BC172" s="131"/>
      <c r="BD172" s="131">
        <f t="shared" si="211"/>
        <v>0</v>
      </c>
      <c r="BE172" s="131"/>
      <c r="BF172" s="131">
        <f t="shared" si="253"/>
        <v>0</v>
      </c>
      <c r="BG172" s="131">
        <f t="shared" si="254"/>
        <v>0</v>
      </c>
      <c r="BH172" s="131"/>
      <c r="BI172" s="131"/>
      <c r="BJ172" s="131"/>
      <c r="BK172" s="131">
        <f t="shared" si="255"/>
        <v>0</v>
      </c>
      <c r="BL172" s="131"/>
      <c r="BM172" s="131"/>
      <c r="BN172" s="131">
        <f t="shared" si="256"/>
        <v>0</v>
      </c>
      <c r="BO172" s="131"/>
      <c r="BP172" s="131">
        <f t="shared" si="257"/>
        <v>0</v>
      </c>
      <c r="BQ172" s="131"/>
      <c r="BR172" s="131"/>
      <c r="BS172" s="131"/>
      <c r="BT172" s="131"/>
      <c r="BU172" s="131"/>
      <c r="BV172" s="131">
        <f t="shared" si="258"/>
        <v>0</v>
      </c>
      <c r="BW172" s="131"/>
      <c r="BX172" s="131"/>
      <c r="BY172" s="131"/>
      <c r="BZ172" s="131">
        <f t="shared" si="259"/>
        <v>0</v>
      </c>
      <c r="CA172" s="131"/>
      <c r="CB172" s="136">
        <f t="shared" si="212"/>
        <v>160.55836672570746</v>
      </c>
      <c r="CC172" s="131">
        <f t="shared" si="213"/>
        <v>0</v>
      </c>
      <c r="CD172" s="136">
        <f t="shared" si="214"/>
        <v>0</v>
      </c>
      <c r="CE172" s="131">
        <f t="shared" si="262"/>
        <v>0</v>
      </c>
      <c r="CF172" s="136">
        <f t="shared" si="215"/>
        <v>0</v>
      </c>
      <c r="CG172" s="136"/>
      <c r="CH172" s="136">
        <f t="shared" si="261"/>
        <v>0</v>
      </c>
      <c r="CI172" s="131">
        <f t="shared" si="216"/>
        <v>0</v>
      </c>
      <c r="CJ172" s="131"/>
      <c r="CK172" s="136">
        <f t="shared" si="217"/>
        <v>0</v>
      </c>
      <c r="CL172" s="136">
        <f t="shared" si="218"/>
        <v>804.25411383551102</v>
      </c>
      <c r="CM172" s="131">
        <f t="shared" si="219"/>
        <v>0</v>
      </c>
      <c r="CN172" s="136">
        <f t="shared" si="220"/>
        <v>0</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f t="shared" si="226"/>
        <v>0</v>
      </c>
      <c r="DC172" s="131">
        <f t="shared" si="185"/>
        <v>0</v>
      </c>
      <c r="DD172" s="131">
        <f t="shared" si="227"/>
        <v>0</v>
      </c>
      <c r="DE172" s="131">
        <f t="shared" si="228"/>
        <v>0</v>
      </c>
      <c r="DF172" s="131">
        <f t="shared" si="229"/>
        <v>0</v>
      </c>
      <c r="DG172" s="131">
        <f t="shared" si="230"/>
        <v>0</v>
      </c>
      <c r="DH172" s="131"/>
      <c r="DI172" s="131"/>
      <c r="DJ172" s="131"/>
      <c r="DK172" s="137">
        <f t="shared" si="260"/>
        <v>4620.5129979953599</v>
      </c>
      <c r="DL172" s="227" t="e">
        <f t="shared" si="231"/>
        <v>#REF!</v>
      </c>
      <c r="DM172" s="227" t="e">
        <f t="shared" si="232"/>
        <v>#REF!</v>
      </c>
      <c r="DN172" s="228" t="e">
        <f t="shared" si="186"/>
        <v>#REF!</v>
      </c>
      <c r="DO172" s="228">
        <f t="shared" si="233"/>
        <v>194.35242757490622</v>
      </c>
      <c r="DP172" s="228" t="e">
        <f t="shared" si="234"/>
        <v>#REF!</v>
      </c>
      <c r="DQ172" s="228" t="e">
        <f t="shared" si="235"/>
        <v>#REF!</v>
      </c>
    </row>
    <row r="173" spans="1:121">
      <c r="A173" s="132">
        <f t="shared" si="265"/>
        <v>163</v>
      </c>
      <c r="B173" s="18">
        <f t="shared" si="236"/>
        <v>163</v>
      </c>
      <c r="C173" s="18">
        <f>IF(A173=0," ",VLOOKUP(B173,'tosafot '!$A$7:$B$234,2,0))</f>
        <v>7.2020999999999997</v>
      </c>
      <c r="D173" s="220">
        <f t="shared" si="237"/>
        <v>228</v>
      </c>
      <c r="E173" s="130">
        <f t="shared" si="238"/>
        <v>12.2026</v>
      </c>
      <c r="F173" s="126">
        <f t="shared" si="239"/>
        <v>22</v>
      </c>
      <c r="G173" s="18" t="str">
        <f t="shared" si="240"/>
        <v>התחבורה</v>
      </c>
      <c r="H173" s="189">
        <f t="shared" si="241"/>
        <v>122</v>
      </c>
      <c r="I173" s="18">
        <f t="shared" si="242"/>
        <v>1</v>
      </c>
      <c r="J173" s="18" t="str">
        <f t="shared" si="243"/>
        <v>מינהלי - עובדי מדינה</v>
      </c>
      <c r="K173" s="189">
        <f t="shared" si="244"/>
        <v>1</v>
      </c>
      <c r="L173" s="18">
        <f t="shared" si="245"/>
        <v>12</v>
      </c>
      <c r="M173" s="129" t="str">
        <f t="shared" si="246"/>
        <v>17+</v>
      </c>
      <c r="N173" s="189"/>
      <c r="O173" s="132">
        <f t="shared" si="247"/>
        <v>1012</v>
      </c>
      <c r="P173" s="127">
        <f t="shared" si="248"/>
        <v>37</v>
      </c>
      <c r="Q173" s="127">
        <f t="shared" si="249"/>
        <v>36.75</v>
      </c>
      <c r="R173" s="128">
        <f t="shared" si="250"/>
        <v>148</v>
      </c>
      <c r="S173" s="130">
        <f t="shared" si="251"/>
        <v>1.4414995494685181</v>
      </c>
      <c r="T173" s="135">
        <f t="shared" si="188"/>
        <v>0</v>
      </c>
      <c r="U173" s="127">
        <f t="shared" si="189"/>
        <v>0</v>
      </c>
      <c r="V173" s="217">
        <v>0</v>
      </c>
      <c r="W173" s="191">
        <v>0</v>
      </c>
      <c r="X173" s="133">
        <v>0</v>
      </c>
      <c r="Y173" s="131">
        <f t="shared" si="190"/>
        <v>2438.5</v>
      </c>
      <c r="Z173" s="131">
        <f t="shared" si="191"/>
        <v>1076.5966513789815</v>
      </c>
      <c r="AA173" s="242">
        <f t="shared" si="192"/>
        <v>3515.0966513789817</v>
      </c>
      <c r="AB173" s="131">
        <f t="shared" si="193"/>
        <v>0</v>
      </c>
      <c r="AC173" s="131">
        <f t="shared" si="194"/>
        <v>140.60386605515927</v>
      </c>
      <c r="AD173" s="131">
        <f t="shared" si="195"/>
        <v>0</v>
      </c>
      <c r="AE173" s="131">
        <f t="shared" si="196"/>
        <v>0</v>
      </c>
      <c r="AF173" s="131">
        <f t="shared" si="197"/>
        <v>0</v>
      </c>
      <c r="AG173" s="131">
        <f t="shared" si="198"/>
        <v>0</v>
      </c>
      <c r="AH173" s="131">
        <f t="shared" si="199"/>
        <v>0</v>
      </c>
      <c r="AI173" s="131">
        <f t="shared" si="200"/>
        <v>0</v>
      </c>
      <c r="AJ173" s="131">
        <f t="shared" si="201"/>
        <v>0</v>
      </c>
      <c r="AK173" s="131"/>
      <c r="AL173" s="131">
        <f t="shared" si="202"/>
        <v>0</v>
      </c>
      <c r="AM173" s="131"/>
      <c r="AN173" s="243">
        <f t="shared" si="203"/>
        <v>0</v>
      </c>
      <c r="AO173" s="131">
        <f t="shared" si="204"/>
        <v>0</v>
      </c>
      <c r="AP173" s="131">
        <f t="shared" si="205"/>
        <v>0</v>
      </c>
      <c r="AQ173" s="131"/>
      <c r="AR173" s="131">
        <f t="shared" si="206"/>
        <v>0</v>
      </c>
      <c r="AS173" s="131">
        <f t="shared" si="252"/>
        <v>0</v>
      </c>
      <c r="AT173" s="131">
        <f t="shared" si="207"/>
        <v>0</v>
      </c>
      <c r="AU173" s="131">
        <f t="shared" si="208"/>
        <v>0</v>
      </c>
      <c r="AV173" s="131"/>
      <c r="AW173" s="131">
        <f t="shared" si="209"/>
        <v>0</v>
      </c>
      <c r="AX173" s="131">
        <f t="shared" si="263"/>
        <v>0</v>
      </c>
      <c r="AY173" s="131">
        <f t="shared" si="210"/>
        <v>0</v>
      </c>
      <c r="AZ173" s="131"/>
      <c r="BA173" s="131">
        <f t="shared" si="264"/>
        <v>0</v>
      </c>
      <c r="BB173" s="131"/>
      <c r="BC173" s="131"/>
      <c r="BD173" s="131">
        <f t="shared" si="211"/>
        <v>0</v>
      </c>
      <c r="BE173" s="131"/>
      <c r="BF173" s="131">
        <f t="shared" si="253"/>
        <v>0</v>
      </c>
      <c r="BG173" s="131">
        <f t="shared" si="254"/>
        <v>0</v>
      </c>
      <c r="BH173" s="131"/>
      <c r="BI173" s="131"/>
      <c r="BJ173" s="131"/>
      <c r="BK173" s="131">
        <f t="shared" si="255"/>
        <v>0</v>
      </c>
      <c r="BL173" s="131"/>
      <c r="BM173" s="131"/>
      <c r="BN173" s="131">
        <f t="shared" si="256"/>
        <v>0</v>
      </c>
      <c r="BO173" s="131"/>
      <c r="BP173" s="131">
        <f t="shared" si="257"/>
        <v>0</v>
      </c>
      <c r="BQ173" s="131"/>
      <c r="BR173" s="131"/>
      <c r="BS173" s="131"/>
      <c r="BT173" s="131"/>
      <c r="BU173" s="131"/>
      <c r="BV173" s="131">
        <f t="shared" si="258"/>
        <v>0</v>
      </c>
      <c r="BW173" s="131"/>
      <c r="BX173" s="131"/>
      <c r="BY173" s="131"/>
      <c r="BZ173" s="131">
        <f t="shared" si="259"/>
        <v>0</v>
      </c>
      <c r="CA173" s="131"/>
      <c r="CB173" s="136">
        <f t="shared" si="212"/>
        <v>160.55836672570746</v>
      </c>
      <c r="CC173" s="131">
        <f t="shared" si="213"/>
        <v>0</v>
      </c>
      <c r="CD173" s="136">
        <f t="shared" si="214"/>
        <v>0</v>
      </c>
      <c r="CE173" s="131">
        <f t="shared" si="262"/>
        <v>0</v>
      </c>
      <c r="CF173" s="136">
        <f t="shared" si="215"/>
        <v>0</v>
      </c>
      <c r="CG173" s="136"/>
      <c r="CH173" s="136">
        <f t="shared" si="261"/>
        <v>0</v>
      </c>
      <c r="CI173" s="131">
        <f t="shared" si="216"/>
        <v>0</v>
      </c>
      <c r="CJ173" s="131"/>
      <c r="CK173" s="136">
        <f t="shared" si="217"/>
        <v>0</v>
      </c>
      <c r="CL173" s="136">
        <f t="shared" si="218"/>
        <v>804.25411383551102</v>
      </c>
      <c r="CM173" s="131">
        <f t="shared" si="219"/>
        <v>0</v>
      </c>
      <c r="CN173" s="136">
        <f t="shared" si="220"/>
        <v>0</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f t="shared" si="226"/>
        <v>0</v>
      </c>
      <c r="DC173" s="131">
        <f t="shared" si="185"/>
        <v>0</v>
      </c>
      <c r="DD173" s="131">
        <f t="shared" si="227"/>
        <v>0</v>
      </c>
      <c r="DE173" s="131">
        <f t="shared" si="228"/>
        <v>0</v>
      </c>
      <c r="DF173" s="131">
        <f t="shared" si="229"/>
        <v>0</v>
      </c>
      <c r="DG173" s="131">
        <f t="shared" si="230"/>
        <v>0</v>
      </c>
      <c r="DH173" s="131"/>
      <c r="DI173" s="131"/>
      <c r="DJ173" s="131"/>
      <c r="DK173" s="137">
        <f t="shared" si="260"/>
        <v>4620.5129979953599</v>
      </c>
      <c r="DL173" s="227" t="e">
        <f t="shared" si="231"/>
        <v>#REF!</v>
      </c>
      <c r="DM173" s="227" t="e">
        <f t="shared" si="232"/>
        <v>#REF!</v>
      </c>
      <c r="DN173" s="228" t="e">
        <f t="shared" si="186"/>
        <v>#REF!</v>
      </c>
      <c r="DO173" s="228">
        <f t="shared" si="233"/>
        <v>194.35242757490622</v>
      </c>
      <c r="DP173" s="228" t="e">
        <f t="shared" si="234"/>
        <v>#REF!</v>
      </c>
      <c r="DQ173" s="228" t="e">
        <f t="shared" si="235"/>
        <v>#REF!</v>
      </c>
    </row>
    <row r="174" spans="1:121">
      <c r="A174" s="132">
        <f t="shared" si="265"/>
        <v>164</v>
      </c>
      <c r="B174" s="18">
        <f t="shared" si="236"/>
        <v>164</v>
      </c>
      <c r="C174" s="18">
        <f>IF(A174=0," ",VLOOKUP(B174,'tosafot '!$A$7:$B$234,2,0))</f>
        <v>8.2020999999999997</v>
      </c>
      <c r="D174" s="220">
        <f t="shared" si="237"/>
        <v>228</v>
      </c>
      <c r="E174" s="130">
        <f t="shared" si="238"/>
        <v>12.2026</v>
      </c>
      <c r="F174" s="126">
        <f t="shared" si="239"/>
        <v>22</v>
      </c>
      <c r="G174" s="18" t="str">
        <f t="shared" si="240"/>
        <v>התחבורה</v>
      </c>
      <c r="H174" s="189">
        <f t="shared" si="241"/>
        <v>122</v>
      </c>
      <c r="I174" s="18">
        <f t="shared" si="242"/>
        <v>1</v>
      </c>
      <c r="J174" s="18" t="str">
        <f t="shared" si="243"/>
        <v>מינהלי - עובדי מדינה</v>
      </c>
      <c r="K174" s="189">
        <f t="shared" si="244"/>
        <v>1</v>
      </c>
      <c r="L174" s="18">
        <f t="shared" si="245"/>
        <v>12</v>
      </c>
      <c r="M174" s="129" t="str">
        <f t="shared" si="246"/>
        <v>17+</v>
      </c>
      <c r="N174" s="189"/>
      <c r="O174" s="132">
        <f t="shared" si="247"/>
        <v>1012</v>
      </c>
      <c r="P174" s="127">
        <f t="shared" si="248"/>
        <v>37</v>
      </c>
      <c r="Q174" s="127">
        <f t="shared" si="249"/>
        <v>36.75</v>
      </c>
      <c r="R174" s="128">
        <f t="shared" si="250"/>
        <v>148</v>
      </c>
      <c r="S174" s="130">
        <f t="shared" si="251"/>
        <v>1.4414995494685181</v>
      </c>
      <c r="T174" s="135">
        <f t="shared" si="188"/>
        <v>0</v>
      </c>
      <c r="U174" s="127">
        <f t="shared" si="189"/>
        <v>0</v>
      </c>
      <c r="V174" s="217">
        <v>0</v>
      </c>
      <c r="W174" s="191">
        <v>0</v>
      </c>
      <c r="X174" s="133">
        <v>0</v>
      </c>
      <c r="Y174" s="131">
        <f t="shared" si="190"/>
        <v>2438.5</v>
      </c>
      <c r="Z174" s="131">
        <f t="shared" si="191"/>
        <v>1076.5966513789815</v>
      </c>
      <c r="AA174" s="242">
        <f t="shared" si="192"/>
        <v>3515.0966513789817</v>
      </c>
      <c r="AB174" s="131">
        <f t="shared" si="193"/>
        <v>0</v>
      </c>
      <c r="AC174" s="131">
        <f t="shared" si="194"/>
        <v>140.60386605515927</v>
      </c>
      <c r="AD174" s="131">
        <f t="shared" si="195"/>
        <v>0</v>
      </c>
      <c r="AE174" s="131">
        <f t="shared" si="196"/>
        <v>0</v>
      </c>
      <c r="AF174" s="131">
        <f t="shared" si="197"/>
        <v>0</v>
      </c>
      <c r="AG174" s="131">
        <f t="shared" si="198"/>
        <v>0</v>
      </c>
      <c r="AH174" s="131">
        <f t="shared" si="199"/>
        <v>0</v>
      </c>
      <c r="AI174" s="131">
        <f t="shared" si="200"/>
        <v>0</v>
      </c>
      <c r="AJ174" s="131">
        <f t="shared" si="201"/>
        <v>0</v>
      </c>
      <c r="AK174" s="131"/>
      <c r="AL174" s="131">
        <f t="shared" si="202"/>
        <v>0</v>
      </c>
      <c r="AM174" s="131"/>
      <c r="AN174" s="243">
        <f t="shared" si="203"/>
        <v>0</v>
      </c>
      <c r="AO174" s="131">
        <f t="shared" si="204"/>
        <v>0</v>
      </c>
      <c r="AP174" s="131">
        <f t="shared" si="205"/>
        <v>0</v>
      </c>
      <c r="AQ174" s="131"/>
      <c r="AR174" s="131">
        <f t="shared" si="206"/>
        <v>0</v>
      </c>
      <c r="AS174" s="131">
        <f t="shared" si="252"/>
        <v>0</v>
      </c>
      <c r="AT174" s="131">
        <f t="shared" si="207"/>
        <v>0</v>
      </c>
      <c r="AU174" s="131">
        <f t="shared" si="208"/>
        <v>0</v>
      </c>
      <c r="AV174" s="131"/>
      <c r="AW174" s="131">
        <f t="shared" si="209"/>
        <v>0</v>
      </c>
      <c r="AX174" s="131">
        <f t="shared" si="263"/>
        <v>0</v>
      </c>
      <c r="AY174" s="131">
        <f t="shared" si="210"/>
        <v>0</v>
      </c>
      <c r="AZ174" s="131"/>
      <c r="BA174" s="131">
        <f t="shared" si="264"/>
        <v>0</v>
      </c>
      <c r="BB174" s="131"/>
      <c r="BC174" s="131"/>
      <c r="BD174" s="131">
        <f t="shared" si="211"/>
        <v>0</v>
      </c>
      <c r="BE174" s="131"/>
      <c r="BF174" s="131">
        <f t="shared" si="253"/>
        <v>0</v>
      </c>
      <c r="BG174" s="131">
        <f t="shared" si="254"/>
        <v>0</v>
      </c>
      <c r="BH174" s="131"/>
      <c r="BI174" s="131"/>
      <c r="BJ174" s="131"/>
      <c r="BK174" s="131">
        <f t="shared" si="255"/>
        <v>0</v>
      </c>
      <c r="BL174" s="131"/>
      <c r="BM174" s="131"/>
      <c r="BN174" s="131">
        <f t="shared" si="256"/>
        <v>0</v>
      </c>
      <c r="BO174" s="131"/>
      <c r="BP174" s="131">
        <f t="shared" si="257"/>
        <v>0</v>
      </c>
      <c r="BQ174" s="131"/>
      <c r="BR174" s="131"/>
      <c r="BS174" s="131"/>
      <c r="BT174" s="131"/>
      <c r="BU174" s="131"/>
      <c r="BV174" s="131">
        <f t="shared" si="258"/>
        <v>0</v>
      </c>
      <c r="BW174" s="131"/>
      <c r="BX174" s="131"/>
      <c r="BY174" s="131"/>
      <c r="BZ174" s="131">
        <f t="shared" si="259"/>
        <v>0</v>
      </c>
      <c r="CA174" s="131"/>
      <c r="CB174" s="136">
        <f t="shared" si="212"/>
        <v>160.55836672570746</v>
      </c>
      <c r="CC174" s="131">
        <f t="shared" si="213"/>
        <v>0</v>
      </c>
      <c r="CD174" s="136">
        <f t="shared" si="214"/>
        <v>0</v>
      </c>
      <c r="CE174" s="131">
        <f t="shared" si="262"/>
        <v>0</v>
      </c>
      <c r="CF174" s="136">
        <f t="shared" si="215"/>
        <v>0</v>
      </c>
      <c r="CG174" s="136"/>
      <c r="CH174" s="136">
        <f t="shared" si="261"/>
        <v>0</v>
      </c>
      <c r="CI174" s="131">
        <f t="shared" si="216"/>
        <v>0</v>
      </c>
      <c r="CJ174" s="131"/>
      <c r="CK174" s="136">
        <f t="shared" si="217"/>
        <v>0</v>
      </c>
      <c r="CL174" s="136">
        <f t="shared" si="218"/>
        <v>804.25411383551102</v>
      </c>
      <c r="CM174" s="131">
        <f t="shared" si="219"/>
        <v>0</v>
      </c>
      <c r="CN174" s="136">
        <f t="shared" si="220"/>
        <v>0</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f t="shared" si="226"/>
        <v>0</v>
      </c>
      <c r="DC174" s="131">
        <f t="shared" si="185"/>
        <v>0</v>
      </c>
      <c r="DD174" s="131">
        <f t="shared" si="227"/>
        <v>0</v>
      </c>
      <c r="DE174" s="131">
        <f t="shared" si="228"/>
        <v>0</v>
      </c>
      <c r="DF174" s="131">
        <f t="shared" si="229"/>
        <v>0</v>
      </c>
      <c r="DG174" s="131">
        <f t="shared" si="230"/>
        <v>0</v>
      </c>
      <c r="DH174" s="131"/>
      <c r="DI174" s="131"/>
      <c r="DJ174" s="131"/>
      <c r="DK174" s="137">
        <f t="shared" si="260"/>
        <v>4620.5129979953599</v>
      </c>
      <c r="DL174" s="227" t="e">
        <f t="shared" si="231"/>
        <v>#REF!</v>
      </c>
      <c r="DM174" s="227" t="e">
        <f t="shared" si="232"/>
        <v>#REF!</v>
      </c>
      <c r="DN174" s="228" t="e">
        <f t="shared" si="186"/>
        <v>#REF!</v>
      </c>
      <c r="DO174" s="228">
        <f t="shared" si="233"/>
        <v>194.35242757490622</v>
      </c>
      <c r="DP174" s="228" t="e">
        <f t="shared" si="234"/>
        <v>#REF!</v>
      </c>
      <c r="DQ174" s="228" t="e">
        <f t="shared" si="235"/>
        <v>#REF!</v>
      </c>
    </row>
    <row r="175" spans="1:121">
      <c r="A175" s="132">
        <f t="shared" si="265"/>
        <v>165</v>
      </c>
      <c r="B175" s="18">
        <f t="shared" si="236"/>
        <v>165</v>
      </c>
      <c r="C175" s="18">
        <f>IF(A175=0," ",VLOOKUP(B175,'tosafot '!$A$7:$B$234,2,0))</f>
        <v>9.2020999999999997</v>
      </c>
      <c r="D175" s="220">
        <f t="shared" si="237"/>
        <v>228</v>
      </c>
      <c r="E175" s="130">
        <f t="shared" si="238"/>
        <v>12.2026</v>
      </c>
      <c r="F175" s="126">
        <f t="shared" si="239"/>
        <v>22</v>
      </c>
      <c r="G175" s="18" t="str">
        <f t="shared" si="240"/>
        <v>התחבורה</v>
      </c>
      <c r="H175" s="189">
        <f t="shared" si="241"/>
        <v>122</v>
      </c>
      <c r="I175" s="18">
        <f t="shared" si="242"/>
        <v>1</v>
      </c>
      <c r="J175" s="18" t="str">
        <f t="shared" si="243"/>
        <v>מינהלי - עובדי מדינה</v>
      </c>
      <c r="K175" s="189">
        <f t="shared" si="244"/>
        <v>1</v>
      </c>
      <c r="L175" s="18">
        <f t="shared" si="245"/>
        <v>12</v>
      </c>
      <c r="M175" s="129" t="str">
        <f t="shared" si="246"/>
        <v>17+</v>
      </c>
      <c r="N175" s="189"/>
      <c r="O175" s="132">
        <f t="shared" si="247"/>
        <v>1012</v>
      </c>
      <c r="P175" s="127">
        <f t="shared" si="248"/>
        <v>37</v>
      </c>
      <c r="Q175" s="127">
        <f t="shared" si="249"/>
        <v>36.75</v>
      </c>
      <c r="R175" s="128">
        <f t="shared" si="250"/>
        <v>148</v>
      </c>
      <c r="S175" s="130">
        <f t="shared" si="251"/>
        <v>1.4414995494685181</v>
      </c>
      <c r="T175" s="135">
        <f t="shared" si="188"/>
        <v>0</v>
      </c>
      <c r="U175" s="127">
        <f t="shared" si="189"/>
        <v>0</v>
      </c>
      <c r="V175" s="217">
        <v>0</v>
      </c>
      <c r="W175" s="191">
        <v>0</v>
      </c>
      <c r="X175" s="133">
        <v>0</v>
      </c>
      <c r="Y175" s="131">
        <f t="shared" si="190"/>
        <v>2438.5</v>
      </c>
      <c r="Z175" s="131">
        <f t="shared" si="191"/>
        <v>1076.5966513789815</v>
      </c>
      <c r="AA175" s="242">
        <f t="shared" si="192"/>
        <v>3515.0966513789817</v>
      </c>
      <c r="AB175" s="131">
        <f t="shared" si="193"/>
        <v>0</v>
      </c>
      <c r="AC175" s="131">
        <f t="shared" si="194"/>
        <v>140.60386605515927</v>
      </c>
      <c r="AD175" s="131">
        <f t="shared" si="195"/>
        <v>0</v>
      </c>
      <c r="AE175" s="131">
        <f t="shared" si="196"/>
        <v>0</v>
      </c>
      <c r="AF175" s="131">
        <f t="shared" si="197"/>
        <v>0</v>
      </c>
      <c r="AG175" s="131">
        <f t="shared" si="198"/>
        <v>0</v>
      </c>
      <c r="AH175" s="131">
        <f t="shared" si="199"/>
        <v>0</v>
      </c>
      <c r="AI175" s="131">
        <f t="shared" si="200"/>
        <v>0</v>
      </c>
      <c r="AJ175" s="131">
        <f t="shared" si="201"/>
        <v>0</v>
      </c>
      <c r="AK175" s="131"/>
      <c r="AL175" s="131">
        <f t="shared" si="202"/>
        <v>0</v>
      </c>
      <c r="AM175" s="131"/>
      <c r="AN175" s="243">
        <f t="shared" si="203"/>
        <v>0</v>
      </c>
      <c r="AO175" s="131">
        <f t="shared" si="204"/>
        <v>0</v>
      </c>
      <c r="AP175" s="131">
        <f t="shared" si="205"/>
        <v>0</v>
      </c>
      <c r="AQ175" s="131"/>
      <c r="AR175" s="131">
        <f t="shared" si="206"/>
        <v>0</v>
      </c>
      <c r="AS175" s="131">
        <f t="shared" si="252"/>
        <v>0</v>
      </c>
      <c r="AT175" s="131">
        <f t="shared" si="207"/>
        <v>0</v>
      </c>
      <c r="AU175" s="131">
        <f t="shared" si="208"/>
        <v>0</v>
      </c>
      <c r="AV175" s="131"/>
      <c r="AW175" s="131">
        <f t="shared" si="209"/>
        <v>0</v>
      </c>
      <c r="AX175" s="131">
        <f t="shared" si="263"/>
        <v>0</v>
      </c>
      <c r="AY175" s="131">
        <f t="shared" si="210"/>
        <v>0</v>
      </c>
      <c r="AZ175" s="131"/>
      <c r="BA175" s="131">
        <f t="shared" si="264"/>
        <v>0</v>
      </c>
      <c r="BB175" s="131"/>
      <c r="BC175" s="131"/>
      <c r="BD175" s="131">
        <f t="shared" si="211"/>
        <v>0</v>
      </c>
      <c r="BE175" s="131"/>
      <c r="BF175" s="131">
        <f t="shared" si="253"/>
        <v>0</v>
      </c>
      <c r="BG175" s="131">
        <f t="shared" si="254"/>
        <v>0</v>
      </c>
      <c r="BH175" s="131"/>
      <c r="BI175" s="131"/>
      <c r="BJ175" s="131"/>
      <c r="BK175" s="131">
        <f t="shared" si="255"/>
        <v>0</v>
      </c>
      <c r="BL175" s="131"/>
      <c r="BM175" s="131"/>
      <c r="BN175" s="131">
        <f t="shared" si="256"/>
        <v>0</v>
      </c>
      <c r="BO175" s="131"/>
      <c r="BP175" s="131">
        <f t="shared" si="257"/>
        <v>0</v>
      </c>
      <c r="BQ175" s="131"/>
      <c r="BR175" s="131"/>
      <c r="BS175" s="131"/>
      <c r="BT175" s="131"/>
      <c r="BU175" s="131"/>
      <c r="BV175" s="131">
        <f t="shared" si="258"/>
        <v>0</v>
      </c>
      <c r="BW175" s="131"/>
      <c r="BX175" s="131"/>
      <c r="BY175" s="131"/>
      <c r="BZ175" s="131">
        <f t="shared" si="259"/>
        <v>0</v>
      </c>
      <c r="CA175" s="131"/>
      <c r="CB175" s="136">
        <f t="shared" si="212"/>
        <v>160.55836672570746</v>
      </c>
      <c r="CC175" s="131">
        <f t="shared" si="213"/>
        <v>0</v>
      </c>
      <c r="CD175" s="136">
        <f t="shared" si="214"/>
        <v>0</v>
      </c>
      <c r="CE175" s="131">
        <f t="shared" si="262"/>
        <v>0</v>
      </c>
      <c r="CF175" s="136">
        <f t="shared" si="215"/>
        <v>0</v>
      </c>
      <c r="CG175" s="136"/>
      <c r="CH175" s="136">
        <f t="shared" si="261"/>
        <v>0</v>
      </c>
      <c r="CI175" s="131">
        <f t="shared" si="216"/>
        <v>0</v>
      </c>
      <c r="CJ175" s="131"/>
      <c r="CK175" s="136">
        <f t="shared" si="217"/>
        <v>0</v>
      </c>
      <c r="CL175" s="136">
        <f t="shared" si="218"/>
        <v>804.25411383551102</v>
      </c>
      <c r="CM175" s="131">
        <f t="shared" si="219"/>
        <v>0</v>
      </c>
      <c r="CN175" s="136">
        <f t="shared" si="220"/>
        <v>0</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f t="shared" si="226"/>
        <v>0</v>
      </c>
      <c r="DC175" s="131">
        <f t="shared" si="185"/>
        <v>0</v>
      </c>
      <c r="DD175" s="131">
        <f t="shared" si="227"/>
        <v>0</v>
      </c>
      <c r="DE175" s="131">
        <f t="shared" si="228"/>
        <v>0</v>
      </c>
      <c r="DF175" s="131">
        <f t="shared" si="229"/>
        <v>0</v>
      </c>
      <c r="DG175" s="131">
        <f t="shared" si="230"/>
        <v>0</v>
      </c>
      <c r="DH175" s="131"/>
      <c r="DI175" s="131"/>
      <c r="DJ175" s="131"/>
      <c r="DK175" s="137">
        <f t="shared" si="260"/>
        <v>4620.5129979953599</v>
      </c>
      <c r="DL175" s="227" t="e">
        <f t="shared" si="231"/>
        <v>#REF!</v>
      </c>
      <c r="DM175" s="227" t="e">
        <f t="shared" si="232"/>
        <v>#REF!</v>
      </c>
      <c r="DN175" s="228" t="e">
        <f t="shared" si="186"/>
        <v>#REF!</v>
      </c>
      <c r="DO175" s="228">
        <f t="shared" si="233"/>
        <v>194.35242757490622</v>
      </c>
      <c r="DP175" s="228" t="e">
        <f t="shared" si="234"/>
        <v>#REF!</v>
      </c>
      <c r="DQ175" s="228" t="e">
        <f t="shared" si="235"/>
        <v>#REF!</v>
      </c>
    </row>
    <row r="176" spans="1:121">
      <c r="A176" s="132">
        <f t="shared" si="265"/>
        <v>166</v>
      </c>
      <c r="B176" s="18">
        <f t="shared" si="236"/>
        <v>166</v>
      </c>
      <c r="C176" s="18">
        <f>IF(A176=0," ",VLOOKUP(B176,'tosafot '!$A$7:$B$234,2,0))</f>
        <v>10.2021</v>
      </c>
      <c r="D176" s="220">
        <f t="shared" si="237"/>
        <v>228</v>
      </c>
      <c r="E176" s="130">
        <f t="shared" si="238"/>
        <v>12.2026</v>
      </c>
      <c r="F176" s="126">
        <f t="shared" si="239"/>
        <v>22</v>
      </c>
      <c r="G176" s="18" t="str">
        <f t="shared" si="240"/>
        <v>התחבורה</v>
      </c>
      <c r="H176" s="189">
        <f t="shared" si="241"/>
        <v>122</v>
      </c>
      <c r="I176" s="18">
        <f t="shared" si="242"/>
        <v>1</v>
      </c>
      <c r="J176" s="18" t="str">
        <f t="shared" si="243"/>
        <v>מינהלי - עובדי מדינה</v>
      </c>
      <c r="K176" s="189">
        <f t="shared" si="244"/>
        <v>1</v>
      </c>
      <c r="L176" s="18">
        <f t="shared" si="245"/>
        <v>12</v>
      </c>
      <c r="M176" s="129" t="str">
        <f t="shared" si="246"/>
        <v>17+</v>
      </c>
      <c r="N176" s="189"/>
      <c r="O176" s="132">
        <f t="shared" si="247"/>
        <v>1012</v>
      </c>
      <c r="P176" s="127">
        <f t="shared" si="248"/>
        <v>37</v>
      </c>
      <c r="Q176" s="127">
        <f t="shared" si="249"/>
        <v>36.75</v>
      </c>
      <c r="R176" s="128">
        <f t="shared" si="250"/>
        <v>148</v>
      </c>
      <c r="S176" s="130">
        <f t="shared" si="251"/>
        <v>1.4414995494685181</v>
      </c>
      <c r="T176" s="135">
        <f t="shared" si="188"/>
        <v>0</v>
      </c>
      <c r="U176" s="127">
        <f t="shared" si="189"/>
        <v>0</v>
      </c>
      <c r="V176" s="217">
        <v>0</v>
      </c>
      <c r="W176" s="191">
        <v>0</v>
      </c>
      <c r="X176" s="133">
        <v>0</v>
      </c>
      <c r="Y176" s="131">
        <f t="shared" si="190"/>
        <v>2438.5</v>
      </c>
      <c r="Z176" s="131">
        <f t="shared" si="191"/>
        <v>1076.5966513789815</v>
      </c>
      <c r="AA176" s="242">
        <f t="shared" si="192"/>
        <v>3515.0966513789817</v>
      </c>
      <c r="AB176" s="131">
        <f t="shared" si="193"/>
        <v>0</v>
      </c>
      <c r="AC176" s="131">
        <f t="shared" si="194"/>
        <v>140.60386605515927</v>
      </c>
      <c r="AD176" s="131">
        <f t="shared" si="195"/>
        <v>0</v>
      </c>
      <c r="AE176" s="131">
        <f t="shared" si="196"/>
        <v>0</v>
      </c>
      <c r="AF176" s="131">
        <f t="shared" si="197"/>
        <v>0</v>
      </c>
      <c r="AG176" s="131">
        <f t="shared" si="198"/>
        <v>0</v>
      </c>
      <c r="AH176" s="131">
        <f t="shared" si="199"/>
        <v>0</v>
      </c>
      <c r="AI176" s="131">
        <f t="shared" si="200"/>
        <v>0</v>
      </c>
      <c r="AJ176" s="131">
        <f t="shared" si="201"/>
        <v>0</v>
      </c>
      <c r="AK176" s="131"/>
      <c r="AL176" s="131">
        <f t="shared" si="202"/>
        <v>0</v>
      </c>
      <c r="AM176" s="131"/>
      <c r="AN176" s="243">
        <f t="shared" si="203"/>
        <v>0</v>
      </c>
      <c r="AO176" s="131">
        <f t="shared" si="204"/>
        <v>0</v>
      </c>
      <c r="AP176" s="131">
        <f t="shared" si="205"/>
        <v>0</v>
      </c>
      <c r="AQ176" s="131"/>
      <c r="AR176" s="131">
        <f t="shared" si="206"/>
        <v>0</v>
      </c>
      <c r="AS176" s="131">
        <f t="shared" si="252"/>
        <v>0</v>
      </c>
      <c r="AT176" s="131">
        <f t="shared" si="207"/>
        <v>0</v>
      </c>
      <c r="AU176" s="131">
        <f t="shared" si="208"/>
        <v>0</v>
      </c>
      <c r="AV176" s="131"/>
      <c r="AW176" s="131">
        <f t="shared" si="209"/>
        <v>0</v>
      </c>
      <c r="AX176" s="131">
        <f t="shared" si="263"/>
        <v>0</v>
      </c>
      <c r="AY176" s="131">
        <f t="shared" si="210"/>
        <v>0</v>
      </c>
      <c r="AZ176" s="131"/>
      <c r="BA176" s="131">
        <f t="shared" si="264"/>
        <v>0</v>
      </c>
      <c r="BB176" s="131"/>
      <c r="BC176" s="131"/>
      <c r="BD176" s="131">
        <f t="shared" si="211"/>
        <v>0</v>
      </c>
      <c r="BE176" s="131"/>
      <c r="BF176" s="131">
        <f t="shared" si="253"/>
        <v>0</v>
      </c>
      <c r="BG176" s="131">
        <f t="shared" si="254"/>
        <v>0</v>
      </c>
      <c r="BH176" s="131"/>
      <c r="BI176" s="131"/>
      <c r="BJ176" s="131"/>
      <c r="BK176" s="131">
        <f t="shared" si="255"/>
        <v>0</v>
      </c>
      <c r="BL176" s="131"/>
      <c r="BM176" s="131"/>
      <c r="BN176" s="131">
        <f t="shared" si="256"/>
        <v>0</v>
      </c>
      <c r="BO176" s="131"/>
      <c r="BP176" s="131">
        <f t="shared" si="257"/>
        <v>0</v>
      </c>
      <c r="BQ176" s="131"/>
      <c r="BR176" s="131"/>
      <c r="BS176" s="131"/>
      <c r="BT176" s="131"/>
      <c r="BU176" s="131"/>
      <c r="BV176" s="131">
        <f t="shared" si="258"/>
        <v>0</v>
      </c>
      <c r="BW176" s="131"/>
      <c r="BX176" s="131"/>
      <c r="BY176" s="131"/>
      <c r="BZ176" s="131">
        <f t="shared" si="259"/>
        <v>0</v>
      </c>
      <c r="CA176" s="131"/>
      <c r="CB176" s="136">
        <f t="shared" si="212"/>
        <v>160.55836672570746</v>
      </c>
      <c r="CC176" s="131">
        <f t="shared" si="213"/>
        <v>0</v>
      </c>
      <c r="CD176" s="136">
        <f t="shared" si="214"/>
        <v>0</v>
      </c>
      <c r="CE176" s="131">
        <f t="shared" si="262"/>
        <v>0</v>
      </c>
      <c r="CF176" s="136">
        <f t="shared" si="215"/>
        <v>0</v>
      </c>
      <c r="CG176" s="136"/>
      <c r="CH176" s="136">
        <f t="shared" si="261"/>
        <v>0</v>
      </c>
      <c r="CI176" s="131">
        <f t="shared" si="216"/>
        <v>0</v>
      </c>
      <c r="CJ176" s="131"/>
      <c r="CK176" s="136">
        <f t="shared" si="217"/>
        <v>0</v>
      </c>
      <c r="CL176" s="136">
        <f t="shared" si="218"/>
        <v>804.25411383551102</v>
      </c>
      <c r="CM176" s="131">
        <f t="shared" si="219"/>
        <v>0</v>
      </c>
      <c r="CN176" s="136">
        <f t="shared" si="220"/>
        <v>0</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f t="shared" si="226"/>
        <v>0</v>
      </c>
      <c r="DC176" s="131">
        <f t="shared" si="185"/>
        <v>0</v>
      </c>
      <c r="DD176" s="131">
        <f t="shared" si="227"/>
        <v>0</v>
      </c>
      <c r="DE176" s="131">
        <f t="shared" si="228"/>
        <v>0</v>
      </c>
      <c r="DF176" s="131">
        <f t="shared" si="229"/>
        <v>0</v>
      </c>
      <c r="DG176" s="131">
        <f t="shared" si="230"/>
        <v>0</v>
      </c>
      <c r="DH176" s="131"/>
      <c r="DI176" s="131"/>
      <c r="DJ176" s="131"/>
      <c r="DK176" s="137">
        <f t="shared" si="260"/>
        <v>4620.5129979953599</v>
      </c>
      <c r="DL176" s="227" t="e">
        <f t="shared" si="231"/>
        <v>#REF!</v>
      </c>
      <c r="DM176" s="227" t="e">
        <f t="shared" si="232"/>
        <v>#REF!</v>
      </c>
      <c r="DN176" s="228" t="e">
        <f t="shared" si="186"/>
        <v>#REF!</v>
      </c>
      <c r="DO176" s="228">
        <f t="shared" si="233"/>
        <v>194.35242757490622</v>
      </c>
      <c r="DP176" s="228" t="e">
        <f t="shared" si="234"/>
        <v>#REF!</v>
      </c>
      <c r="DQ176" s="228" t="e">
        <f t="shared" si="235"/>
        <v>#REF!</v>
      </c>
    </row>
    <row r="177" spans="1:121">
      <c r="A177" s="132">
        <f t="shared" si="265"/>
        <v>167</v>
      </c>
      <c r="B177" s="18">
        <f t="shared" si="236"/>
        <v>167</v>
      </c>
      <c r="C177" s="18">
        <f>IF(A177=0," ",VLOOKUP(B177,'tosafot '!$A$7:$B$234,2,0))</f>
        <v>11.2021</v>
      </c>
      <c r="D177" s="220">
        <f t="shared" si="237"/>
        <v>228</v>
      </c>
      <c r="E177" s="130">
        <f t="shared" si="238"/>
        <v>12.2026</v>
      </c>
      <c r="F177" s="126">
        <f t="shared" si="239"/>
        <v>22</v>
      </c>
      <c r="G177" s="18" t="str">
        <f t="shared" si="240"/>
        <v>התחבורה</v>
      </c>
      <c r="H177" s="189">
        <f t="shared" si="241"/>
        <v>122</v>
      </c>
      <c r="I177" s="18">
        <f t="shared" si="242"/>
        <v>1</v>
      </c>
      <c r="J177" s="18" t="str">
        <f t="shared" si="243"/>
        <v>מינהלי - עובדי מדינה</v>
      </c>
      <c r="K177" s="189">
        <f t="shared" si="244"/>
        <v>1</v>
      </c>
      <c r="L177" s="18">
        <f t="shared" si="245"/>
        <v>12</v>
      </c>
      <c r="M177" s="129" t="str">
        <f t="shared" si="246"/>
        <v>17+</v>
      </c>
      <c r="N177" s="189"/>
      <c r="O177" s="132">
        <f t="shared" si="247"/>
        <v>1012</v>
      </c>
      <c r="P177" s="127">
        <f t="shared" si="248"/>
        <v>37</v>
      </c>
      <c r="Q177" s="127">
        <f t="shared" si="249"/>
        <v>36.75</v>
      </c>
      <c r="R177" s="128">
        <f t="shared" si="250"/>
        <v>148</v>
      </c>
      <c r="S177" s="130">
        <f t="shared" si="251"/>
        <v>1.4414995494685181</v>
      </c>
      <c r="T177" s="135">
        <f t="shared" si="188"/>
        <v>0</v>
      </c>
      <c r="U177" s="127">
        <f t="shared" si="189"/>
        <v>0</v>
      </c>
      <c r="V177" s="217">
        <v>0</v>
      </c>
      <c r="W177" s="191">
        <v>0</v>
      </c>
      <c r="X177" s="133">
        <v>0</v>
      </c>
      <c r="Y177" s="131">
        <f t="shared" si="190"/>
        <v>2438.5</v>
      </c>
      <c r="Z177" s="131">
        <f t="shared" si="191"/>
        <v>1076.5966513789815</v>
      </c>
      <c r="AA177" s="242">
        <f t="shared" si="192"/>
        <v>3515.0966513789817</v>
      </c>
      <c r="AB177" s="131">
        <f t="shared" si="193"/>
        <v>0</v>
      </c>
      <c r="AC177" s="131">
        <f t="shared" si="194"/>
        <v>140.60386605515927</v>
      </c>
      <c r="AD177" s="131">
        <f t="shared" si="195"/>
        <v>0</v>
      </c>
      <c r="AE177" s="131">
        <f t="shared" si="196"/>
        <v>0</v>
      </c>
      <c r="AF177" s="131">
        <f t="shared" si="197"/>
        <v>0</v>
      </c>
      <c r="AG177" s="131">
        <f t="shared" si="198"/>
        <v>0</v>
      </c>
      <c r="AH177" s="131">
        <f t="shared" si="199"/>
        <v>0</v>
      </c>
      <c r="AI177" s="131">
        <f t="shared" si="200"/>
        <v>0</v>
      </c>
      <c r="AJ177" s="131">
        <f t="shared" si="201"/>
        <v>0</v>
      </c>
      <c r="AK177" s="131"/>
      <c r="AL177" s="131">
        <f t="shared" si="202"/>
        <v>0</v>
      </c>
      <c r="AM177" s="131"/>
      <c r="AN177" s="243">
        <f t="shared" si="203"/>
        <v>0</v>
      </c>
      <c r="AO177" s="131">
        <f t="shared" si="204"/>
        <v>0</v>
      </c>
      <c r="AP177" s="131">
        <f t="shared" si="205"/>
        <v>0</v>
      </c>
      <c r="AQ177" s="131"/>
      <c r="AR177" s="131">
        <f t="shared" si="206"/>
        <v>0</v>
      </c>
      <c r="AS177" s="131">
        <f t="shared" si="252"/>
        <v>0</v>
      </c>
      <c r="AT177" s="131">
        <f t="shared" si="207"/>
        <v>0</v>
      </c>
      <c r="AU177" s="131">
        <f t="shared" si="208"/>
        <v>0</v>
      </c>
      <c r="AV177" s="131"/>
      <c r="AW177" s="131">
        <f t="shared" si="209"/>
        <v>0</v>
      </c>
      <c r="AX177" s="131">
        <f t="shared" si="263"/>
        <v>0</v>
      </c>
      <c r="AY177" s="131">
        <f t="shared" si="210"/>
        <v>0</v>
      </c>
      <c r="AZ177" s="131"/>
      <c r="BA177" s="131">
        <f t="shared" si="264"/>
        <v>0</v>
      </c>
      <c r="BB177" s="131"/>
      <c r="BC177" s="131"/>
      <c r="BD177" s="131">
        <f t="shared" si="211"/>
        <v>0</v>
      </c>
      <c r="BE177" s="131"/>
      <c r="BF177" s="131">
        <f t="shared" si="253"/>
        <v>0</v>
      </c>
      <c r="BG177" s="131">
        <f t="shared" si="254"/>
        <v>0</v>
      </c>
      <c r="BH177" s="131"/>
      <c r="BI177" s="131"/>
      <c r="BJ177" s="131"/>
      <c r="BK177" s="131">
        <f t="shared" si="255"/>
        <v>0</v>
      </c>
      <c r="BL177" s="131"/>
      <c r="BM177" s="131"/>
      <c r="BN177" s="131">
        <f t="shared" si="256"/>
        <v>0</v>
      </c>
      <c r="BO177" s="131"/>
      <c r="BP177" s="131">
        <f t="shared" si="257"/>
        <v>0</v>
      </c>
      <c r="BQ177" s="131"/>
      <c r="BR177" s="131"/>
      <c r="BS177" s="131"/>
      <c r="BT177" s="131"/>
      <c r="BU177" s="131"/>
      <c r="BV177" s="131">
        <f t="shared" si="258"/>
        <v>0</v>
      </c>
      <c r="BW177" s="131"/>
      <c r="BX177" s="131"/>
      <c r="BY177" s="131"/>
      <c r="BZ177" s="131">
        <f t="shared" si="259"/>
        <v>0</v>
      </c>
      <c r="CA177" s="131"/>
      <c r="CB177" s="136">
        <f t="shared" si="212"/>
        <v>160.55836672570746</v>
      </c>
      <c r="CC177" s="131">
        <f t="shared" si="213"/>
        <v>0</v>
      </c>
      <c r="CD177" s="136">
        <f t="shared" si="214"/>
        <v>0</v>
      </c>
      <c r="CE177" s="131">
        <f t="shared" si="262"/>
        <v>0</v>
      </c>
      <c r="CF177" s="136">
        <f t="shared" si="215"/>
        <v>0</v>
      </c>
      <c r="CG177" s="136"/>
      <c r="CH177" s="136">
        <f t="shared" si="261"/>
        <v>0</v>
      </c>
      <c r="CI177" s="131">
        <f t="shared" si="216"/>
        <v>0</v>
      </c>
      <c r="CJ177" s="131"/>
      <c r="CK177" s="136">
        <f t="shared" si="217"/>
        <v>0</v>
      </c>
      <c r="CL177" s="136">
        <f t="shared" si="218"/>
        <v>804.25411383551102</v>
      </c>
      <c r="CM177" s="131">
        <f t="shared" si="219"/>
        <v>0</v>
      </c>
      <c r="CN177" s="136">
        <f t="shared" si="220"/>
        <v>0</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f t="shared" si="226"/>
        <v>0</v>
      </c>
      <c r="DC177" s="131">
        <f t="shared" si="185"/>
        <v>0</v>
      </c>
      <c r="DD177" s="131">
        <f t="shared" si="227"/>
        <v>0</v>
      </c>
      <c r="DE177" s="131">
        <f t="shared" si="228"/>
        <v>0</v>
      </c>
      <c r="DF177" s="131">
        <f t="shared" si="229"/>
        <v>0</v>
      </c>
      <c r="DG177" s="131">
        <f t="shared" si="230"/>
        <v>0</v>
      </c>
      <c r="DH177" s="131"/>
      <c r="DI177" s="131"/>
      <c r="DJ177" s="131"/>
      <c r="DK177" s="137">
        <f t="shared" si="260"/>
        <v>4620.5129979953599</v>
      </c>
      <c r="DL177" s="227" t="e">
        <f t="shared" si="231"/>
        <v>#REF!</v>
      </c>
      <c r="DM177" s="227" t="e">
        <f t="shared" si="232"/>
        <v>#REF!</v>
      </c>
      <c r="DN177" s="228" t="e">
        <f t="shared" si="186"/>
        <v>#REF!</v>
      </c>
      <c r="DO177" s="228">
        <f t="shared" si="233"/>
        <v>194.35242757490622</v>
      </c>
      <c r="DP177" s="228" t="e">
        <f t="shared" si="234"/>
        <v>#REF!</v>
      </c>
      <c r="DQ177" s="228" t="e">
        <f t="shared" si="235"/>
        <v>#REF!</v>
      </c>
    </row>
    <row r="178" spans="1:121">
      <c r="A178" s="132">
        <f t="shared" si="265"/>
        <v>168</v>
      </c>
      <c r="B178" s="18">
        <f t="shared" si="236"/>
        <v>168</v>
      </c>
      <c r="C178" s="18">
        <f>IF(A178=0," ",VLOOKUP(B178,'tosafot '!$A$7:$B$234,2,0))</f>
        <v>12.2021</v>
      </c>
      <c r="D178" s="220">
        <f t="shared" si="237"/>
        <v>228</v>
      </c>
      <c r="E178" s="130">
        <f t="shared" si="238"/>
        <v>12.2026</v>
      </c>
      <c r="F178" s="126">
        <f t="shared" si="239"/>
        <v>22</v>
      </c>
      <c r="G178" s="18" t="str">
        <f t="shared" si="240"/>
        <v>התחבורה</v>
      </c>
      <c r="H178" s="189">
        <f t="shared" si="241"/>
        <v>122</v>
      </c>
      <c r="I178" s="18">
        <f t="shared" si="242"/>
        <v>1</v>
      </c>
      <c r="J178" s="18" t="str">
        <f t="shared" si="243"/>
        <v>מינהלי - עובדי מדינה</v>
      </c>
      <c r="K178" s="189">
        <f t="shared" si="244"/>
        <v>1</v>
      </c>
      <c r="L178" s="18">
        <f t="shared" si="245"/>
        <v>12</v>
      </c>
      <c r="M178" s="129" t="str">
        <f t="shared" si="246"/>
        <v>17+</v>
      </c>
      <c r="N178" s="189"/>
      <c r="O178" s="132">
        <f t="shared" si="247"/>
        <v>1012</v>
      </c>
      <c r="P178" s="127">
        <f t="shared" si="248"/>
        <v>37</v>
      </c>
      <c r="Q178" s="127">
        <f t="shared" si="249"/>
        <v>36.75</v>
      </c>
      <c r="R178" s="128">
        <f t="shared" si="250"/>
        <v>148</v>
      </c>
      <c r="S178" s="130">
        <f t="shared" si="251"/>
        <v>1.4414995494685181</v>
      </c>
      <c r="T178" s="135">
        <f t="shared" si="188"/>
        <v>0</v>
      </c>
      <c r="U178" s="127">
        <f t="shared" si="189"/>
        <v>0</v>
      </c>
      <c r="V178" s="217">
        <v>0</v>
      </c>
      <c r="W178" s="191">
        <v>0</v>
      </c>
      <c r="X178" s="133">
        <v>0</v>
      </c>
      <c r="Y178" s="131">
        <f t="shared" si="190"/>
        <v>2438.5</v>
      </c>
      <c r="Z178" s="131">
        <f t="shared" si="191"/>
        <v>1076.5966513789815</v>
      </c>
      <c r="AA178" s="242">
        <f t="shared" si="192"/>
        <v>3515.0966513789817</v>
      </c>
      <c r="AB178" s="131">
        <f t="shared" si="193"/>
        <v>0</v>
      </c>
      <c r="AC178" s="131">
        <f t="shared" si="194"/>
        <v>140.60386605515927</v>
      </c>
      <c r="AD178" s="131">
        <f t="shared" si="195"/>
        <v>0</v>
      </c>
      <c r="AE178" s="131">
        <f t="shared" si="196"/>
        <v>0</v>
      </c>
      <c r="AF178" s="131">
        <f t="shared" si="197"/>
        <v>0</v>
      </c>
      <c r="AG178" s="131">
        <f t="shared" si="198"/>
        <v>0</v>
      </c>
      <c r="AH178" s="131">
        <f t="shared" si="199"/>
        <v>0</v>
      </c>
      <c r="AI178" s="131">
        <f t="shared" si="200"/>
        <v>0</v>
      </c>
      <c r="AJ178" s="131">
        <f t="shared" si="201"/>
        <v>0</v>
      </c>
      <c r="AK178" s="131"/>
      <c r="AL178" s="131">
        <f t="shared" si="202"/>
        <v>0</v>
      </c>
      <c r="AM178" s="131"/>
      <c r="AN178" s="243">
        <f t="shared" si="203"/>
        <v>0</v>
      </c>
      <c r="AO178" s="131">
        <f t="shared" si="204"/>
        <v>0</v>
      </c>
      <c r="AP178" s="131">
        <f t="shared" si="205"/>
        <v>0</v>
      </c>
      <c r="AQ178" s="131"/>
      <c r="AR178" s="131">
        <f t="shared" si="206"/>
        <v>0</v>
      </c>
      <c r="AS178" s="131">
        <f t="shared" si="252"/>
        <v>0</v>
      </c>
      <c r="AT178" s="131">
        <f t="shared" si="207"/>
        <v>0</v>
      </c>
      <c r="AU178" s="131">
        <f t="shared" si="208"/>
        <v>0</v>
      </c>
      <c r="AV178" s="131"/>
      <c r="AW178" s="131">
        <f t="shared" si="209"/>
        <v>0</v>
      </c>
      <c r="AX178" s="131">
        <f t="shared" si="263"/>
        <v>0</v>
      </c>
      <c r="AY178" s="131">
        <f t="shared" si="210"/>
        <v>0</v>
      </c>
      <c r="AZ178" s="131"/>
      <c r="BA178" s="131">
        <f t="shared" si="264"/>
        <v>0</v>
      </c>
      <c r="BB178" s="131"/>
      <c r="BC178" s="131"/>
      <c r="BD178" s="131">
        <f t="shared" si="211"/>
        <v>0</v>
      </c>
      <c r="BE178" s="131"/>
      <c r="BF178" s="131">
        <f t="shared" si="253"/>
        <v>0</v>
      </c>
      <c r="BG178" s="131">
        <f t="shared" si="254"/>
        <v>0</v>
      </c>
      <c r="BH178" s="131"/>
      <c r="BI178" s="131"/>
      <c r="BJ178" s="131"/>
      <c r="BK178" s="131">
        <f t="shared" si="255"/>
        <v>0</v>
      </c>
      <c r="BL178" s="131"/>
      <c r="BM178" s="131"/>
      <c r="BN178" s="131">
        <f t="shared" si="256"/>
        <v>0</v>
      </c>
      <c r="BO178" s="131"/>
      <c r="BP178" s="131">
        <f t="shared" si="257"/>
        <v>0</v>
      </c>
      <c r="BQ178" s="131"/>
      <c r="BR178" s="131"/>
      <c r="BS178" s="131"/>
      <c r="BT178" s="131"/>
      <c r="BU178" s="131"/>
      <c r="BV178" s="131">
        <f t="shared" si="258"/>
        <v>0</v>
      </c>
      <c r="BW178" s="131"/>
      <c r="BX178" s="131"/>
      <c r="BY178" s="131"/>
      <c r="BZ178" s="131">
        <f t="shared" si="259"/>
        <v>0</v>
      </c>
      <c r="CA178" s="131"/>
      <c r="CB178" s="136">
        <f t="shared" si="212"/>
        <v>160.55836672570746</v>
      </c>
      <c r="CC178" s="131">
        <f t="shared" si="213"/>
        <v>0</v>
      </c>
      <c r="CD178" s="136">
        <f t="shared" si="214"/>
        <v>0</v>
      </c>
      <c r="CE178" s="131">
        <f t="shared" si="262"/>
        <v>0</v>
      </c>
      <c r="CF178" s="136">
        <f t="shared" si="215"/>
        <v>0</v>
      </c>
      <c r="CG178" s="136"/>
      <c r="CH178" s="136">
        <f t="shared" si="261"/>
        <v>0</v>
      </c>
      <c r="CI178" s="131">
        <f t="shared" si="216"/>
        <v>0</v>
      </c>
      <c r="CJ178" s="131"/>
      <c r="CK178" s="136">
        <f t="shared" si="217"/>
        <v>0</v>
      </c>
      <c r="CL178" s="136">
        <f t="shared" si="218"/>
        <v>804.25411383551102</v>
      </c>
      <c r="CM178" s="131">
        <f t="shared" si="219"/>
        <v>0</v>
      </c>
      <c r="CN178" s="136">
        <f t="shared" si="220"/>
        <v>0</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f t="shared" si="226"/>
        <v>0</v>
      </c>
      <c r="DC178" s="131">
        <f t="shared" si="185"/>
        <v>0</v>
      </c>
      <c r="DD178" s="131">
        <f t="shared" si="227"/>
        <v>0</v>
      </c>
      <c r="DE178" s="131">
        <f t="shared" si="228"/>
        <v>0</v>
      </c>
      <c r="DF178" s="131">
        <f t="shared" si="229"/>
        <v>0</v>
      </c>
      <c r="DG178" s="131">
        <f t="shared" si="230"/>
        <v>0</v>
      </c>
      <c r="DH178" s="131"/>
      <c r="DI178" s="131"/>
      <c r="DJ178" s="131"/>
      <c r="DK178" s="137">
        <f t="shared" si="260"/>
        <v>4620.5129979953599</v>
      </c>
      <c r="DL178" s="227" t="e">
        <f t="shared" si="231"/>
        <v>#REF!</v>
      </c>
      <c r="DM178" s="227" t="e">
        <f t="shared" si="232"/>
        <v>#REF!</v>
      </c>
      <c r="DN178" s="228" t="e">
        <f t="shared" si="186"/>
        <v>#REF!</v>
      </c>
      <c r="DO178" s="228">
        <f t="shared" si="233"/>
        <v>194.35242757490622</v>
      </c>
      <c r="DP178" s="228" t="e">
        <f t="shared" si="234"/>
        <v>#REF!</v>
      </c>
      <c r="DQ178" s="228" t="e">
        <f t="shared" si="235"/>
        <v>#REF!</v>
      </c>
    </row>
    <row r="179" spans="1:121">
      <c r="A179" s="132">
        <f t="shared" si="265"/>
        <v>169</v>
      </c>
      <c r="B179" s="18">
        <f t="shared" si="236"/>
        <v>169</v>
      </c>
      <c r="C179" s="18">
        <f>IF(A179=0," ",VLOOKUP(B179,'tosafot '!$A$7:$B$234,2,0))</f>
        <v>1.2021999999999999</v>
      </c>
      <c r="D179" s="220">
        <f t="shared" si="237"/>
        <v>228</v>
      </c>
      <c r="E179" s="130">
        <f t="shared" si="238"/>
        <v>12.2026</v>
      </c>
      <c r="F179" s="126">
        <f t="shared" si="239"/>
        <v>22</v>
      </c>
      <c r="G179" s="18" t="str">
        <f t="shared" si="240"/>
        <v>התחבורה</v>
      </c>
      <c r="H179" s="189">
        <f t="shared" si="241"/>
        <v>122</v>
      </c>
      <c r="I179" s="18">
        <f t="shared" si="242"/>
        <v>1</v>
      </c>
      <c r="J179" s="18" t="str">
        <f t="shared" si="243"/>
        <v>מינהלי - עובדי מדינה</v>
      </c>
      <c r="K179" s="189">
        <f t="shared" si="244"/>
        <v>1</v>
      </c>
      <c r="L179" s="18">
        <f t="shared" si="245"/>
        <v>12</v>
      </c>
      <c r="M179" s="129" t="str">
        <f t="shared" si="246"/>
        <v>17+</v>
      </c>
      <c r="N179" s="189"/>
      <c r="O179" s="132">
        <f t="shared" si="247"/>
        <v>1012</v>
      </c>
      <c r="P179" s="127">
        <f t="shared" si="248"/>
        <v>37</v>
      </c>
      <c r="Q179" s="127">
        <f t="shared" si="249"/>
        <v>36.75</v>
      </c>
      <c r="R179" s="128">
        <f t="shared" si="250"/>
        <v>148</v>
      </c>
      <c r="S179" s="130">
        <f t="shared" si="251"/>
        <v>1.4414995494685181</v>
      </c>
      <c r="T179" s="135">
        <f t="shared" si="188"/>
        <v>0</v>
      </c>
      <c r="U179" s="127">
        <f t="shared" si="189"/>
        <v>0</v>
      </c>
      <c r="V179" s="217">
        <v>0</v>
      </c>
      <c r="W179" s="191">
        <v>0</v>
      </c>
      <c r="X179" s="133">
        <v>0</v>
      </c>
      <c r="Y179" s="131">
        <f t="shared" si="190"/>
        <v>2438.5</v>
      </c>
      <c r="Z179" s="131">
        <f t="shared" si="191"/>
        <v>1076.5966513789815</v>
      </c>
      <c r="AA179" s="242">
        <f t="shared" si="192"/>
        <v>3515.0966513789817</v>
      </c>
      <c r="AB179" s="131">
        <f t="shared" si="193"/>
        <v>0</v>
      </c>
      <c r="AC179" s="131">
        <f t="shared" si="194"/>
        <v>140.60386605515927</v>
      </c>
      <c r="AD179" s="131">
        <f t="shared" si="195"/>
        <v>0</v>
      </c>
      <c r="AE179" s="131">
        <f t="shared" si="196"/>
        <v>0</v>
      </c>
      <c r="AF179" s="131">
        <f t="shared" si="197"/>
        <v>0</v>
      </c>
      <c r="AG179" s="131">
        <f t="shared" si="198"/>
        <v>0</v>
      </c>
      <c r="AH179" s="131">
        <f t="shared" si="199"/>
        <v>0</v>
      </c>
      <c r="AI179" s="131">
        <f t="shared" si="200"/>
        <v>0</v>
      </c>
      <c r="AJ179" s="131">
        <f t="shared" si="201"/>
        <v>0</v>
      </c>
      <c r="AK179" s="131"/>
      <c r="AL179" s="131">
        <f t="shared" si="202"/>
        <v>0</v>
      </c>
      <c r="AM179" s="131"/>
      <c r="AN179" s="243">
        <f t="shared" si="203"/>
        <v>0</v>
      </c>
      <c r="AO179" s="131">
        <f t="shared" si="204"/>
        <v>0</v>
      </c>
      <c r="AP179" s="131">
        <f t="shared" si="205"/>
        <v>0</v>
      </c>
      <c r="AQ179" s="131"/>
      <c r="AR179" s="131">
        <f t="shared" si="206"/>
        <v>0</v>
      </c>
      <c r="AS179" s="131">
        <f t="shared" si="252"/>
        <v>0</v>
      </c>
      <c r="AT179" s="131">
        <f t="shared" si="207"/>
        <v>0</v>
      </c>
      <c r="AU179" s="131">
        <f t="shared" si="208"/>
        <v>0</v>
      </c>
      <c r="AV179" s="131"/>
      <c r="AW179" s="131">
        <f t="shared" si="209"/>
        <v>0</v>
      </c>
      <c r="AX179" s="131">
        <f t="shared" si="263"/>
        <v>0</v>
      </c>
      <c r="AY179" s="131">
        <f t="shared" si="210"/>
        <v>0</v>
      </c>
      <c r="AZ179" s="131"/>
      <c r="BA179" s="131">
        <f t="shared" si="264"/>
        <v>0</v>
      </c>
      <c r="BB179" s="131"/>
      <c r="BC179" s="131"/>
      <c r="BD179" s="131">
        <f t="shared" si="211"/>
        <v>0</v>
      </c>
      <c r="BE179" s="131"/>
      <c r="BF179" s="131">
        <f t="shared" si="253"/>
        <v>0</v>
      </c>
      <c r="BG179" s="131">
        <f t="shared" si="254"/>
        <v>0</v>
      </c>
      <c r="BH179" s="131"/>
      <c r="BI179" s="131"/>
      <c r="BJ179" s="131"/>
      <c r="BK179" s="131">
        <f t="shared" si="255"/>
        <v>0</v>
      </c>
      <c r="BL179" s="131"/>
      <c r="BM179" s="131"/>
      <c r="BN179" s="131">
        <f t="shared" si="256"/>
        <v>0</v>
      </c>
      <c r="BO179" s="131"/>
      <c r="BP179" s="131">
        <f t="shared" si="257"/>
        <v>0</v>
      </c>
      <c r="BQ179" s="131"/>
      <c r="BR179" s="131"/>
      <c r="BS179" s="131"/>
      <c r="BT179" s="131"/>
      <c r="BU179" s="131"/>
      <c r="BV179" s="131">
        <f t="shared" si="258"/>
        <v>0</v>
      </c>
      <c r="BW179" s="131"/>
      <c r="BX179" s="131"/>
      <c r="BY179" s="131"/>
      <c r="BZ179" s="131">
        <f t="shared" si="259"/>
        <v>0</v>
      </c>
      <c r="CA179" s="131"/>
      <c r="CB179" s="136">
        <f t="shared" si="212"/>
        <v>160.55836672570746</v>
      </c>
      <c r="CC179" s="131">
        <f t="shared" si="213"/>
        <v>0</v>
      </c>
      <c r="CD179" s="136">
        <f t="shared" si="214"/>
        <v>0</v>
      </c>
      <c r="CE179" s="131">
        <f t="shared" si="262"/>
        <v>0</v>
      </c>
      <c r="CF179" s="136">
        <f t="shared" si="215"/>
        <v>0</v>
      </c>
      <c r="CG179" s="136"/>
      <c r="CH179" s="136">
        <f t="shared" si="261"/>
        <v>0</v>
      </c>
      <c r="CI179" s="131">
        <f t="shared" si="216"/>
        <v>0</v>
      </c>
      <c r="CJ179" s="131"/>
      <c r="CK179" s="136">
        <f t="shared" si="217"/>
        <v>0</v>
      </c>
      <c r="CL179" s="136">
        <f t="shared" si="218"/>
        <v>804.25411383551102</v>
      </c>
      <c r="CM179" s="131">
        <f t="shared" si="219"/>
        <v>0</v>
      </c>
      <c r="CN179" s="136">
        <f t="shared" si="220"/>
        <v>0</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f t="shared" si="226"/>
        <v>0</v>
      </c>
      <c r="DC179" s="131">
        <f t="shared" si="185"/>
        <v>0</v>
      </c>
      <c r="DD179" s="131">
        <f t="shared" si="227"/>
        <v>0</v>
      </c>
      <c r="DE179" s="131">
        <f t="shared" si="228"/>
        <v>0</v>
      </c>
      <c r="DF179" s="131">
        <f t="shared" si="229"/>
        <v>0</v>
      </c>
      <c r="DG179" s="131">
        <f t="shared" si="230"/>
        <v>0</v>
      </c>
      <c r="DH179" s="131"/>
      <c r="DI179" s="131"/>
      <c r="DJ179" s="131"/>
      <c r="DK179" s="137">
        <f t="shared" si="260"/>
        <v>4620.5129979953599</v>
      </c>
      <c r="DL179" s="227" t="e">
        <f t="shared" si="231"/>
        <v>#REF!</v>
      </c>
      <c r="DM179" s="227" t="e">
        <f t="shared" si="232"/>
        <v>#REF!</v>
      </c>
      <c r="DN179" s="228" t="e">
        <f t="shared" si="186"/>
        <v>#REF!</v>
      </c>
      <c r="DO179" s="228">
        <f t="shared" si="233"/>
        <v>194.35242757490622</v>
      </c>
      <c r="DP179" s="228" t="e">
        <f t="shared" si="234"/>
        <v>#REF!</v>
      </c>
      <c r="DQ179" s="228" t="e">
        <f t="shared" si="235"/>
        <v>#REF!</v>
      </c>
    </row>
    <row r="180" spans="1:121">
      <c r="A180" s="132">
        <f t="shared" si="265"/>
        <v>170</v>
      </c>
      <c r="B180" s="18">
        <f t="shared" si="236"/>
        <v>170</v>
      </c>
      <c r="C180" s="18">
        <f>IF(A180=0," ",VLOOKUP(B180,'tosafot '!$A$7:$B$234,2,0))</f>
        <v>2.2021999999999999</v>
      </c>
      <c r="D180" s="220">
        <f t="shared" si="237"/>
        <v>228</v>
      </c>
      <c r="E180" s="130">
        <f t="shared" si="238"/>
        <v>12.2026</v>
      </c>
      <c r="F180" s="126">
        <f t="shared" si="239"/>
        <v>22</v>
      </c>
      <c r="G180" s="18" t="str">
        <f t="shared" si="240"/>
        <v>התחבורה</v>
      </c>
      <c r="H180" s="189">
        <f t="shared" si="241"/>
        <v>122</v>
      </c>
      <c r="I180" s="18">
        <f t="shared" si="242"/>
        <v>1</v>
      </c>
      <c r="J180" s="18" t="str">
        <f t="shared" si="243"/>
        <v>מינהלי - עובדי מדינה</v>
      </c>
      <c r="K180" s="189">
        <f t="shared" si="244"/>
        <v>1</v>
      </c>
      <c r="L180" s="18">
        <f t="shared" si="245"/>
        <v>12</v>
      </c>
      <c r="M180" s="129" t="str">
        <f t="shared" si="246"/>
        <v>17+</v>
      </c>
      <c r="N180" s="189"/>
      <c r="O180" s="132">
        <f t="shared" si="247"/>
        <v>1012</v>
      </c>
      <c r="P180" s="127">
        <f t="shared" si="248"/>
        <v>37</v>
      </c>
      <c r="Q180" s="127">
        <f t="shared" si="249"/>
        <v>36.75</v>
      </c>
      <c r="R180" s="128">
        <f t="shared" si="250"/>
        <v>148</v>
      </c>
      <c r="S180" s="130">
        <f t="shared" si="251"/>
        <v>1.4414995494685181</v>
      </c>
      <c r="T180" s="135">
        <f t="shared" si="188"/>
        <v>0</v>
      </c>
      <c r="U180" s="127">
        <f t="shared" si="189"/>
        <v>0</v>
      </c>
      <c r="V180" s="217">
        <v>0</v>
      </c>
      <c r="W180" s="191">
        <v>0</v>
      </c>
      <c r="X180" s="133">
        <v>0</v>
      </c>
      <c r="Y180" s="131">
        <f t="shared" si="190"/>
        <v>2438.5</v>
      </c>
      <c r="Z180" s="131">
        <f t="shared" si="191"/>
        <v>1076.5966513789815</v>
      </c>
      <c r="AA180" s="242">
        <f t="shared" si="192"/>
        <v>3515.0966513789817</v>
      </c>
      <c r="AB180" s="131">
        <f t="shared" si="193"/>
        <v>0</v>
      </c>
      <c r="AC180" s="131">
        <f t="shared" si="194"/>
        <v>140.60386605515927</v>
      </c>
      <c r="AD180" s="131">
        <f t="shared" si="195"/>
        <v>0</v>
      </c>
      <c r="AE180" s="131">
        <f t="shared" si="196"/>
        <v>0</v>
      </c>
      <c r="AF180" s="131">
        <f t="shared" si="197"/>
        <v>0</v>
      </c>
      <c r="AG180" s="131">
        <f t="shared" si="198"/>
        <v>0</v>
      </c>
      <c r="AH180" s="131">
        <f t="shared" si="199"/>
        <v>0</v>
      </c>
      <c r="AI180" s="131">
        <f t="shared" si="200"/>
        <v>0</v>
      </c>
      <c r="AJ180" s="131">
        <f t="shared" si="201"/>
        <v>0</v>
      </c>
      <c r="AK180" s="131"/>
      <c r="AL180" s="131">
        <f t="shared" si="202"/>
        <v>0</v>
      </c>
      <c r="AM180" s="131"/>
      <c r="AN180" s="243">
        <f t="shared" si="203"/>
        <v>0</v>
      </c>
      <c r="AO180" s="131">
        <f t="shared" si="204"/>
        <v>0</v>
      </c>
      <c r="AP180" s="131">
        <f t="shared" si="205"/>
        <v>0</v>
      </c>
      <c r="AQ180" s="131"/>
      <c r="AR180" s="131">
        <f t="shared" si="206"/>
        <v>0</v>
      </c>
      <c r="AS180" s="131">
        <f t="shared" si="252"/>
        <v>0</v>
      </c>
      <c r="AT180" s="131">
        <f t="shared" si="207"/>
        <v>0</v>
      </c>
      <c r="AU180" s="131">
        <f t="shared" si="208"/>
        <v>0</v>
      </c>
      <c r="AV180" s="131"/>
      <c r="AW180" s="131">
        <f t="shared" si="209"/>
        <v>0</v>
      </c>
      <c r="AX180" s="131">
        <f t="shared" si="263"/>
        <v>0</v>
      </c>
      <c r="AY180" s="131">
        <f t="shared" si="210"/>
        <v>0</v>
      </c>
      <c r="AZ180" s="131"/>
      <c r="BA180" s="131">
        <f t="shared" si="264"/>
        <v>0</v>
      </c>
      <c r="BB180" s="131"/>
      <c r="BC180" s="131"/>
      <c r="BD180" s="131">
        <f t="shared" si="211"/>
        <v>0</v>
      </c>
      <c r="BE180" s="131"/>
      <c r="BF180" s="131">
        <f t="shared" si="253"/>
        <v>0</v>
      </c>
      <c r="BG180" s="131">
        <f t="shared" si="254"/>
        <v>0</v>
      </c>
      <c r="BH180" s="131"/>
      <c r="BI180" s="131"/>
      <c r="BJ180" s="131"/>
      <c r="BK180" s="131">
        <f t="shared" si="255"/>
        <v>0</v>
      </c>
      <c r="BL180" s="131"/>
      <c r="BM180" s="131"/>
      <c r="BN180" s="131">
        <f t="shared" si="256"/>
        <v>0</v>
      </c>
      <c r="BO180" s="131"/>
      <c r="BP180" s="131">
        <f t="shared" si="257"/>
        <v>0</v>
      </c>
      <c r="BQ180" s="131"/>
      <c r="BR180" s="131"/>
      <c r="BS180" s="131"/>
      <c r="BT180" s="131"/>
      <c r="BU180" s="131"/>
      <c r="BV180" s="131">
        <f t="shared" si="258"/>
        <v>0</v>
      </c>
      <c r="BW180" s="131"/>
      <c r="BX180" s="131"/>
      <c r="BY180" s="131"/>
      <c r="BZ180" s="131">
        <f t="shared" si="259"/>
        <v>0</v>
      </c>
      <c r="CA180" s="131"/>
      <c r="CB180" s="136">
        <f t="shared" si="212"/>
        <v>160.55836672570746</v>
      </c>
      <c r="CC180" s="131">
        <f t="shared" si="213"/>
        <v>0</v>
      </c>
      <c r="CD180" s="136">
        <f t="shared" si="214"/>
        <v>0</v>
      </c>
      <c r="CE180" s="131">
        <f t="shared" si="262"/>
        <v>0</v>
      </c>
      <c r="CF180" s="136">
        <f t="shared" si="215"/>
        <v>0</v>
      </c>
      <c r="CG180" s="136"/>
      <c r="CH180" s="136">
        <f t="shared" si="261"/>
        <v>0</v>
      </c>
      <c r="CI180" s="131">
        <f t="shared" si="216"/>
        <v>0</v>
      </c>
      <c r="CJ180" s="131"/>
      <c r="CK180" s="136">
        <f t="shared" si="217"/>
        <v>0</v>
      </c>
      <c r="CL180" s="136">
        <f t="shared" si="218"/>
        <v>804.25411383551102</v>
      </c>
      <c r="CM180" s="131">
        <f t="shared" si="219"/>
        <v>0</v>
      </c>
      <c r="CN180" s="136">
        <f t="shared" si="220"/>
        <v>0</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f t="shared" si="226"/>
        <v>0</v>
      </c>
      <c r="DC180" s="131">
        <f t="shared" si="185"/>
        <v>0</v>
      </c>
      <c r="DD180" s="131">
        <f t="shared" si="227"/>
        <v>0</v>
      </c>
      <c r="DE180" s="131">
        <f t="shared" si="228"/>
        <v>0</v>
      </c>
      <c r="DF180" s="131">
        <f t="shared" si="229"/>
        <v>0</v>
      </c>
      <c r="DG180" s="131">
        <f t="shared" si="230"/>
        <v>0</v>
      </c>
      <c r="DH180" s="131"/>
      <c r="DI180" s="131"/>
      <c r="DJ180" s="131"/>
      <c r="DK180" s="137">
        <f t="shared" si="260"/>
        <v>4620.5129979953599</v>
      </c>
      <c r="DL180" s="227" t="e">
        <f t="shared" si="231"/>
        <v>#REF!</v>
      </c>
      <c r="DM180" s="227" t="e">
        <f t="shared" si="232"/>
        <v>#REF!</v>
      </c>
      <c r="DN180" s="228" t="e">
        <f t="shared" si="186"/>
        <v>#REF!</v>
      </c>
      <c r="DO180" s="228">
        <f t="shared" si="233"/>
        <v>194.35242757490622</v>
      </c>
      <c r="DP180" s="228" t="e">
        <f t="shared" si="234"/>
        <v>#REF!</v>
      </c>
      <c r="DQ180" s="228" t="e">
        <f t="shared" si="235"/>
        <v>#REF!</v>
      </c>
    </row>
    <row r="181" spans="1:121">
      <c r="A181" s="132">
        <f t="shared" si="265"/>
        <v>171</v>
      </c>
      <c r="B181" s="18">
        <f t="shared" si="236"/>
        <v>171</v>
      </c>
      <c r="C181" s="18">
        <f>IF(A181=0," ",VLOOKUP(B181,'tosafot '!$A$7:$B$234,2,0))</f>
        <v>3.2021999999999999</v>
      </c>
      <c r="D181" s="220">
        <f t="shared" si="237"/>
        <v>228</v>
      </c>
      <c r="E181" s="130">
        <f t="shared" si="238"/>
        <v>12.2026</v>
      </c>
      <c r="F181" s="126">
        <f t="shared" si="239"/>
        <v>22</v>
      </c>
      <c r="G181" s="18" t="str">
        <f t="shared" si="240"/>
        <v>התחבורה</v>
      </c>
      <c r="H181" s="189">
        <f t="shared" si="241"/>
        <v>122</v>
      </c>
      <c r="I181" s="18">
        <f t="shared" si="242"/>
        <v>1</v>
      </c>
      <c r="J181" s="18" t="str">
        <f t="shared" si="243"/>
        <v>מינהלי - עובדי מדינה</v>
      </c>
      <c r="K181" s="189">
        <f t="shared" si="244"/>
        <v>1</v>
      </c>
      <c r="L181" s="18">
        <f t="shared" si="245"/>
        <v>12</v>
      </c>
      <c r="M181" s="129" t="str">
        <f t="shared" si="246"/>
        <v>17+</v>
      </c>
      <c r="N181" s="189"/>
      <c r="O181" s="132">
        <f t="shared" si="247"/>
        <v>1012</v>
      </c>
      <c r="P181" s="127">
        <f t="shared" si="248"/>
        <v>37</v>
      </c>
      <c r="Q181" s="127">
        <f t="shared" si="249"/>
        <v>36.75</v>
      </c>
      <c r="R181" s="128">
        <f t="shared" si="250"/>
        <v>148</v>
      </c>
      <c r="S181" s="130">
        <f t="shared" si="251"/>
        <v>1.4414995494685181</v>
      </c>
      <c r="T181" s="135">
        <f t="shared" si="188"/>
        <v>0</v>
      </c>
      <c r="U181" s="127">
        <f t="shared" si="189"/>
        <v>0</v>
      </c>
      <c r="V181" s="217">
        <v>0</v>
      </c>
      <c r="W181" s="191">
        <v>0</v>
      </c>
      <c r="X181" s="133">
        <v>0</v>
      </c>
      <c r="Y181" s="131">
        <f t="shared" si="190"/>
        <v>2438.5</v>
      </c>
      <c r="Z181" s="131">
        <f t="shared" si="191"/>
        <v>1076.5966513789815</v>
      </c>
      <c r="AA181" s="242">
        <f t="shared" si="192"/>
        <v>3515.0966513789817</v>
      </c>
      <c r="AB181" s="131">
        <f t="shared" si="193"/>
        <v>0</v>
      </c>
      <c r="AC181" s="131">
        <f t="shared" si="194"/>
        <v>140.60386605515927</v>
      </c>
      <c r="AD181" s="131">
        <f t="shared" si="195"/>
        <v>0</v>
      </c>
      <c r="AE181" s="131">
        <f t="shared" si="196"/>
        <v>0</v>
      </c>
      <c r="AF181" s="131">
        <f t="shared" si="197"/>
        <v>0</v>
      </c>
      <c r="AG181" s="131">
        <f t="shared" si="198"/>
        <v>0</v>
      </c>
      <c r="AH181" s="131">
        <f t="shared" si="199"/>
        <v>0</v>
      </c>
      <c r="AI181" s="131">
        <f t="shared" si="200"/>
        <v>0</v>
      </c>
      <c r="AJ181" s="131">
        <f t="shared" si="201"/>
        <v>0</v>
      </c>
      <c r="AK181" s="131"/>
      <c r="AL181" s="131">
        <f t="shared" si="202"/>
        <v>0</v>
      </c>
      <c r="AM181" s="131"/>
      <c r="AN181" s="243">
        <f t="shared" si="203"/>
        <v>0</v>
      </c>
      <c r="AO181" s="131">
        <f t="shared" si="204"/>
        <v>0</v>
      </c>
      <c r="AP181" s="131">
        <f t="shared" si="205"/>
        <v>0</v>
      </c>
      <c r="AQ181" s="131"/>
      <c r="AR181" s="131">
        <f t="shared" si="206"/>
        <v>0</v>
      </c>
      <c r="AS181" s="131">
        <f t="shared" si="252"/>
        <v>0</v>
      </c>
      <c r="AT181" s="131">
        <f t="shared" si="207"/>
        <v>0</v>
      </c>
      <c r="AU181" s="131">
        <f t="shared" si="208"/>
        <v>0</v>
      </c>
      <c r="AV181" s="131"/>
      <c r="AW181" s="131">
        <f t="shared" si="209"/>
        <v>0</v>
      </c>
      <c r="AX181" s="131">
        <f t="shared" si="263"/>
        <v>0</v>
      </c>
      <c r="AY181" s="131">
        <f t="shared" si="210"/>
        <v>0</v>
      </c>
      <c r="AZ181" s="131"/>
      <c r="BA181" s="131">
        <f t="shared" si="264"/>
        <v>0</v>
      </c>
      <c r="BB181" s="131"/>
      <c r="BC181" s="131"/>
      <c r="BD181" s="131">
        <f t="shared" si="211"/>
        <v>0</v>
      </c>
      <c r="BE181" s="131"/>
      <c r="BF181" s="131">
        <f t="shared" si="253"/>
        <v>0</v>
      </c>
      <c r="BG181" s="131">
        <f t="shared" si="254"/>
        <v>0</v>
      </c>
      <c r="BH181" s="131"/>
      <c r="BI181" s="131"/>
      <c r="BJ181" s="131"/>
      <c r="BK181" s="131">
        <f t="shared" si="255"/>
        <v>0</v>
      </c>
      <c r="BL181" s="131"/>
      <c r="BM181" s="131"/>
      <c r="BN181" s="131">
        <f t="shared" si="256"/>
        <v>0</v>
      </c>
      <c r="BO181" s="131"/>
      <c r="BP181" s="131">
        <f t="shared" si="257"/>
        <v>0</v>
      </c>
      <c r="BQ181" s="131"/>
      <c r="BR181" s="131"/>
      <c r="BS181" s="131"/>
      <c r="BT181" s="131"/>
      <c r="BU181" s="131"/>
      <c r="BV181" s="131">
        <f t="shared" si="258"/>
        <v>0</v>
      </c>
      <c r="BW181" s="131"/>
      <c r="BX181" s="131"/>
      <c r="BY181" s="131"/>
      <c r="BZ181" s="131">
        <f t="shared" si="259"/>
        <v>0</v>
      </c>
      <c r="CA181" s="131"/>
      <c r="CB181" s="136">
        <f t="shared" si="212"/>
        <v>160.55836672570746</v>
      </c>
      <c r="CC181" s="131">
        <f t="shared" si="213"/>
        <v>0</v>
      </c>
      <c r="CD181" s="136">
        <f t="shared" si="214"/>
        <v>0</v>
      </c>
      <c r="CE181" s="131">
        <f t="shared" si="262"/>
        <v>0</v>
      </c>
      <c r="CF181" s="136">
        <f t="shared" si="215"/>
        <v>0</v>
      </c>
      <c r="CG181" s="136"/>
      <c r="CH181" s="136">
        <f t="shared" si="261"/>
        <v>0</v>
      </c>
      <c r="CI181" s="131">
        <f t="shared" si="216"/>
        <v>0</v>
      </c>
      <c r="CJ181" s="131"/>
      <c r="CK181" s="136">
        <f t="shared" si="217"/>
        <v>0</v>
      </c>
      <c r="CL181" s="136">
        <f t="shared" si="218"/>
        <v>804.25411383551102</v>
      </c>
      <c r="CM181" s="131">
        <f t="shared" si="219"/>
        <v>0</v>
      </c>
      <c r="CN181" s="136">
        <f t="shared" si="220"/>
        <v>0</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f t="shared" si="226"/>
        <v>0</v>
      </c>
      <c r="DC181" s="131">
        <f t="shared" si="185"/>
        <v>0</v>
      </c>
      <c r="DD181" s="131">
        <f t="shared" si="227"/>
        <v>0</v>
      </c>
      <c r="DE181" s="131">
        <f t="shared" si="228"/>
        <v>0</v>
      </c>
      <c r="DF181" s="131">
        <f t="shared" si="229"/>
        <v>0</v>
      </c>
      <c r="DG181" s="131">
        <f t="shared" si="230"/>
        <v>0</v>
      </c>
      <c r="DH181" s="131"/>
      <c r="DI181" s="131"/>
      <c r="DJ181" s="131"/>
      <c r="DK181" s="137">
        <f t="shared" si="260"/>
        <v>4620.5129979953599</v>
      </c>
      <c r="DL181" s="227" t="e">
        <f t="shared" si="231"/>
        <v>#REF!</v>
      </c>
      <c r="DM181" s="227" t="e">
        <f t="shared" si="232"/>
        <v>#REF!</v>
      </c>
      <c r="DN181" s="228" t="e">
        <f t="shared" si="186"/>
        <v>#REF!</v>
      </c>
      <c r="DO181" s="228">
        <f t="shared" si="233"/>
        <v>194.35242757490622</v>
      </c>
      <c r="DP181" s="228" t="e">
        <f t="shared" si="234"/>
        <v>#REF!</v>
      </c>
      <c r="DQ181" s="228" t="e">
        <f t="shared" si="235"/>
        <v>#REF!</v>
      </c>
    </row>
    <row r="182" spans="1:121">
      <c r="A182" s="132">
        <f t="shared" si="265"/>
        <v>172</v>
      </c>
      <c r="B182" s="18">
        <f t="shared" si="236"/>
        <v>172</v>
      </c>
      <c r="C182" s="18">
        <f>IF(A182=0," ",VLOOKUP(B182,'tosafot '!$A$7:$B$234,2,0))</f>
        <v>4.2022000000000004</v>
      </c>
      <c r="D182" s="220">
        <f t="shared" si="237"/>
        <v>228</v>
      </c>
      <c r="E182" s="130">
        <f t="shared" si="238"/>
        <v>12.2026</v>
      </c>
      <c r="F182" s="126">
        <f t="shared" si="239"/>
        <v>22</v>
      </c>
      <c r="G182" s="18" t="str">
        <f t="shared" si="240"/>
        <v>התחבורה</v>
      </c>
      <c r="H182" s="189">
        <f t="shared" si="241"/>
        <v>122</v>
      </c>
      <c r="I182" s="18">
        <f t="shared" si="242"/>
        <v>1</v>
      </c>
      <c r="J182" s="18" t="str">
        <f t="shared" si="243"/>
        <v>מינהלי - עובדי מדינה</v>
      </c>
      <c r="K182" s="189">
        <f t="shared" si="244"/>
        <v>1</v>
      </c>
      <c r="L182" s="18">
        <f t="shared" si="245"/>
        <v>12</v>
      </c>
      <c r="M182" s="129" t="str">
        <f t="shared" si="246"/>
        <v>17+</v>
      </c>
      <c r="N182" s="189"/>
      <c r="O182" s="132">
        <f t="shared" si="247"/>
        <v>1012</v>
      </c>
      <c r="P182" s="127">
        <f t="shared" si="248"/>
        <v>37</v>
      </c>
      <c r="Q182" s="127">
        <f t="shared" si="249"/>
        <v>36.75</v>
      </c>
      <c r="R182" s="128">
        <f t="shared" si="250"/>
        <v>148</v>
      </c>
      <c r="S182" s="130">
        <f t="shared" si="251"/>
        <v>1.4414995494685181</v>
      </c>
      <c r="T182" s="135">
        <f t="shared" si="188"/>
        <v>0</v>
      </c>
      <c r="U182" s="127">
        <f t="shared" si="189"/>
        <v>0</v>
      </c>
      <c r="V182" s="217">
        <v>0</v>
      </c>
      <c r="W182" s="191">
        <v>0</v>
      </c>
      <c r="X182" s="133">
        <v>0</v>
      </c>
      <c r="Y182" s="131">
        <f t="shared" si="190"/>
        <v>2438.5</v>
      </c>
      <c r="Z182" s="131">
        <f t="shared" si="191"/>
        <v>1076.5966513789815</v>
      </c>
      <c r="AA182" s="242">
        <f t="shared" si="192"/>
        <v>3515.0966513789817</v>
      </c>
      <c r="AB182" s="131">
        <f t="shared" si="193"/>
        <v>0</v>
      </c>
      <c r="AC182" s="131">
        <f t="shared" si="194"/>
        <v>140.60386605515927</v>
      </c>
      <c r="AD182" s="131">
        <f t="shared" si="195"/>
        <v>0</v>
      </c>
      <c r="AE182" s="131">
        <f t="shared" si="196"/>
        <v>0</v>
      </c>
      <c r="AF182" s="131">
        <f t="shared" si="197"/>
        <v>0</v>
      </c>
      <c r="AG182" s="131">
        <f t="shared" si="198"/>
        <v>0</v>
      </c>
      <c r="AH182" s="131">
        <f t="shared" si="199"/>
        <v>0</v>
      </c>
      <c r="AI182" s="131">
        <f t="shared" si="200"/>
        <v>0</v>
      </c>
      <c r="AJ182" s="131">
        <f t="shared" si="201"/>
        <v>0</v>
      </c>
      <c r="AK182" s="131"/>
      <c r="AL182" s="131">
        <f t="shared" si="202"/>
        <v>0</v>
      </c>
      <c r="AM182" s="131"/>
      <c r="AN182" s="243">
        <f t="shared" si="203"/>
        <v>0</v>
      </c>
      <c r="AO182" s="131">
        <f t="shared" si="204"/>
        <v>0</v>
      </c>
      <c r="AP182" s="131">
        <f t="shared" si="205"/>
        <v>0</v>
      </c>
      <c r="AQ182" s="131"/>
      <c r="AR182" s="131">
        <f t="shared" si="206"/>
        <v>0</v>
      </c>
      <c r="AS182" s="131">
        <f t="shared" si="252"/>
        <v>0</v>
      </c>
      <c r="AT182" s="131">
        <f t="shared" si="207"/>
        <v>0</v>
      </c>
      <c r="AU182" s="131">
        <f t="shared" si="208"/>
        <v>0</v>
      </c>
      <c r="AV182" s="131"/>
      <c r="AW182" s="131">
        <f t="shared" si="209"/>
        <v>0</v>
      </c>
      <c r="AX182" s="131">
        <f t="shared" si="263"/>
        <v>0</v>
      </c>
      <c r="AY182" s="131">
        <f t="shared" si="210"/>
        <v>0</v>
      </c>
      <c r="AZ182" s="131"/>
      <c r="BA182" s="131">
        <f t="shared" si="264"/>
        <v>0</v>
      </c>
      <c r="BB182" s="131"/>
      <c r="BC182" s="131"/>
      <c r="BD182" s="131">
        <f t="shared" si="211"/>
        <v>0</v>
      </c>
      <c r="BE182" s="131"/>
      <c r="BF182" s="131">
        <f t="shared" si="253"/>
        <v>0</v>
      </c>
      <c r="BG182" s="131">
        <f t="shared" si="254"/>
        <v>0</v>
      </c>
      <c r="BH182" s="131"/>
      <c r="BI182" s="131"/>
      <c r="BJ182" s="131"/>
      <c r="BK182" s="131">
        <f t="shared" si="255"/>
        <v>0</v>
      </c>
      <c r="BL182" s="131"/>
      <c r="BM182" s="131"/>
      <c r="BN182" s="131">
        <f t="shared" si="256"/>
        <v>0</v>
      </c>
      <c r="BO182" s="131"/>
      <c r="BP182" s="131">
        <f t="shared" si="257"/>
        <v>0</v>
      </c>
      <c r="BQ182" s="131"/>
      <c r="BR182" s="131"/>
      <c r="BS182" s="131"/>
      <c r="BT182" s="131"/>
      <c r="BU182" s="131"/>
      <c r="BV182" s="131">
        <f t="shared" si="258"/>
        <v>0</v>
      </c>
      <c r="BW182" s="131"/>
      <c r="BX182" s="131"/>
      <c r="BY182" s="131"/>
      <c r="BZ182" s="131">
        <f t="shared" si="259"/>
        <v>0</v>
      </c>
      <c r="CA182" s="131"/>
      <c r="CB182" s="136">
        <f t="shared" si="212"/>
        <v>160.55836672570746</v>
      </c>
      <c r="CC182" s="131">
        <f t="shared" si="213"/>
        <v>0</v>
      </c>
      <c r="CD182" s="136">
        <f t="shared" si="214"/>
        <v>0</v>
      </c>
      <c r="CE182" s="131">
        <f t="shared" si="262"/>
        <v>0</v>
      </c>
      <c r="CF182" s="136">
        <f t="shared" si="215"/>
        <v>0</v>
      </c>
      <c r="CG182" s="136"/>
      <c r="CH182" s="136">
        <f t="shared" si="261"/>
        <v>0</v>
      </c>
      <c r="CI182" s="131">
        <f t="shared" si="216"/>
        <v>0</v>
      </c>
      <c r="CJ182" s="131"/>
      <c r="CK182" s="136">
        <f t="shared" si="217"/>
        <v>0</v>
      </c>
      <c r="CL182" s="136">
        <f t="shared" si="218"/>
        <v>804.25411383551102</v>
      </c>
      <c r="CM182" s="131">
        <f t="shared" si="219"/>
        <v>0</v>
      </c>
      <c r="CN182" s="136">
        <f t="shared" si="220"/>
        <v>0</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f t="shared" si="226"/>
        <v>0</v>
      </c>
      <c r="DC182" s="131">
        <f t="shared" si="185"/>
        <v>0</v>
      </c>
      <c r="DD182" s="131">
        <f t="shared" si="227"/>
        <v>0</v>
      </c>
      <c r="DE182" s="131">
        <f t="shared" si="228"/>
        <v>0</v>
      </c>
      <c r="DF182" s="131">
        <f t="shared" si="229"/>
        <v>0</v>
      </c>
      <c r="DG182" s="131">
        <f t="shared" si="230"/>
        <v>0</v>
      </c>
      <c r="DH182" s="131"/>
      <c r="DI182" s="131"/>
      <c r="DJ182" s="131"/>
      <c r="DK182" s="137">
        <f t="shared" si="260"/>
        <v>4620.5129979953599</v>
      </c>
      <c r="DL182" s="227" t="e">
        <f t="shared" si="231"/>
        <v>#REF!</v>
      </c>
      <c r="DM182" s="227" t="e">
        <f t="shared" si="232"/>
        <v>#REF!</v>
      </c>
      <c r="DN182" s="228" t="e">
        <f t="shared" si="186"/>
        <v>#REF!</v>
      </c>
      <c r="DO182" s="228">
        <f t="shared" si="233"/>
        <v>194.35242757490622</v>
      </c>
      <c r="DP182" s="228" t="e">
        <f t="shared" si="234"/>
        <v>#REF!</v>
      </c>
      <c r="DQ182" s="228" t="e">
        <f t="shared" si="235"/>
        <v>#REF!</v>
      </c>
    </row>
    <row r="183" spans="1:121">
      <c r="A183" s="132">
        <f t="shared" si="265"/>
        <v>173</v>
      </c>
      <c r="B183" s="18">
        <f t="shared" si="236"/>
        <v>173</v>
      </c>
      <c r="C183" s="18">
        <f>IF(A183=0," ",VLOOKUP(B183,'tosafot '!$A$7:$B$234,2,0))</f>
        <v>5.2022000000000004</v>
      </c>
      <c r="D183" s="220">
        <f t="shared" si="237"/>
        <v>228</v>
      </c>
      <c r="E183" s="130">
        <f t="shared" si="238"/>
        <v>12.2026</v>
      </c>
      <c r="F183" s="126">
        <f t="shared" si="239"/>
        <v>22</v>
      </c>
      <c r="G183" s="18" t="str">
        <f t="shared" si="240"/>
        <v>התחבורה</v>
      </c>
      <c r="H183" s="189">
        <f t="shared" si="241"/>
        <v>122</v>
      </c>
      <c r="I183" s="18">
        <f t="shared" si="242"/>
        <v>1</v>
      </c>
      <c r="J183" s="18" t="str">
        <f t="shared" si="243"/>
        <v>מינהלי - עובדי מדינה</v>
      </c>
      <c r="K183" s="189">
        <f t="shared" si="244"/>
        <v>1</v>
      </c>
      <c r="L183" s="18">
        <f t="shared" si="245"/>
        <v>12</v>
      </c>
      <c r="M183" s="129" t="str">
        <f t="shared" si="246"/>
        <v>17+</v>
      </c>
      <c r="N183" s="189"/>
      <c r="O183" s="132">
        <f t="shared" si="247"/>
        <v>1012</v>
      </c>
      <c r="P183" s="127">
        <f t="shared" si="248"/>
        <v>37</v>
      </c>
      <c r="Q183" s="127">
        <f t="shared" si="249"/>
        <v>36.75</v>
      </c>
      <c r="R183" s="128">
        <f t="shared" si="250"/>
        <v>148</v>
      </c>
      <c r="S183" s="130">
        <f t="shared" si="251"/>
        <v>1.4414995494685181</v>
      </c>
      <c r="T183" s="135">
        <f t="shared" si="188"/>
        <v>0</v>
      </c>
      <c r="U183" s="127">
        <f t="shared" si="189"/>
        <v>0</v>
      </c>
      <c r="V183" s="217">
        <v>0</v>
      </c>
      <c r="W183" s="191">
        <v>0</v>
      </c>
      <c r="X183" s="133">
        <v>0</v>
      </c>
      <c r="Y183" s="131">
        <f t="shared" si="190"/>
        <v>2438.5</v>
      </c>
      <c r="Z183" s="131">
        <f t="shared" si="191"/>
        <v>1076.5966513789815</v>
      </c>
      <c r="AA183" s="242">
        <f t="shared" si="192"/>
        <v>3515.0966513789817</v>
      </c>
      <c r="AB183" s="131">
        <f t="shared" si="193"/>
        <v>0</v>
      </c>
      <c r="AC183" s="131">
        <f t="shared" si="194"/>
        <v>140.60386605515927</v>
      </c>
      <c r="AD183" s="131">
        <f t="shared" si="195"/>
        <v>0</v>
      </c>
      <c r="AE183" s="131">
        <f t="shared" si="196"/>
        <v>0</v>
      </c>
      <c r="AF183" s="131">
        <f t="shared" si="197"/>
        <v>0</v>
      </c>
      <c r="AG183" s="131">
        <f t="shared" si="198"/>
        <v>0</v>
      </c>
      <c r="AH183" s="131">
        <f t="shared" si="199"/>
        <v>0</v>
      </c>
      <c r="AI183" s="131">
        <f t="shared" si="200"/>
        <v>0</v>
      </c>
      <c r="AJ183" s="131">
        <f t="shared" si="201"/>
        <v>0</v>
      </c>
      <c r="AK183" s="131"/>
      <c r="AL183" s="131">
        <f t="shared" si="202"/>
        <v>0</v>
      </c>
      <c r="AM183" s="131"/>
      <c r="AN183" s="243">
        <f t="shared" si="203"/>
        <v>0</v>
      </c>
      <c r="AO183" s="131">
        <f t="shared" si="204"/>
        <v>0</v>
      </c>
      <c r="AP183" s="131">
        <f t="shared" si="205"/>
        <v>0</v>
      </c>
      <c r="AQ183" s="131"/>
      <c r="AR183" s="131">
        <f t="shared" si="206"/>
        <v>0</v>
      </c>
      <c r="AS183" s="131">
        <f t="shared" si="252"/>
        <v>0</v>
      </c>
      <c r="AT183" s="131">
        <f t="shared" si="207"/>
        <v>0</v>
      </c>
      <c r="AU183" s="131">
        <f t="shared" si="208"/>
        <v>0</v>
      </c>
      <c r="AV183" s="131"/>
      <c r="AW183" s="131">
        <f t="shared" si="209"/>
        <v>0</v>
      </c>
      <c r="AX183" s="131">
        <f t="shared" si="263"/>
        <v>0</v>
      </c>
      <c r="AY183" s="131">
        <f t="shared" si="210"/>
        <v>0</v>
      </c>
      <c r="AZ183" s="131"/>
      <c r="BA183" s="131">
        <f t="shared" si="264"/>
        <v>0</v>
      </c>
      <c r="BB183" s="131"/>
      <c r="BC183" s="131"/>
      <c r="BD183" s="131">
        <f t="shared" si="211"/>
        <v>0</v>
      </c>
      <c r="BE183" s="131"/>
      <c r="BF183" s="131">
        <f t="shared" si="253"/>
        <v>0</v>
      </c>
      <c r="BG183" s="131">
        <f t="shared" si="254"/>
        <v>0</v>
      </c>
      <c r="BH183" s="131"/>
      <c r="BI183" s="131"/>
      <c r="BJ183" s="131"/>
      <c r="BK183" s="131">
        <f t="shared" si="255"/>
        <v>0</v>
      </c>
      <c r="BL183" s="131"/>
      <c r="BM183" s="131"/>
      <c r="BN183" s="131">
        <f t="shared" si="256"/>
        <v>0</v>
      </c>
      <c r="BO183" s="131"/>
      <c r="BP183" s="131">
        <f t="shared" si="257"/>
        <v>0</v>
      </c>
      <c r="BQ183" s="131"/>
      <c r="BR183" s="131"/>
      <c r="BS183" s="131"/>
      <c r="BT183" s="131"/>
      <c r="BU183" s="131"/>
      <c r="BV183" s="131">
        <f t="shared" si="258"/>
        <v>0</v>
      </c>
      <c r="BW183" s="131"/>
      <c r="BX183" s="131"/>
      <c r="BY183" s="131"/>
      <c r="BZ183" s="131">
        <f t="shared" si="259"/>
        <v>0</v>
      </c>
      <c r="CA183" s="131"/>
      <c r="CB183" s="136">
        <f t="shared" si="212"/>
        <v>160.55836672570746</v>
      </c>
      <c r="CC183" s="131">
        <f t="shared" si="213"/>
        <v>0</v>
      </c>
      <c r="CD183" s="136">
        <f t="shared" si="214"/>
        <v>0</v>
      </c>
      <c r="CE183" s="131">
        <f t="shared" si="262"/>
        <v>0</v>
      </c>
      <c r="CF183" s="136">
        <f t="shared" si="215"/>
        <v>0</v>
      </c>
      <c r="CG183" s="136"/>
      <c r="CH183" s="136">
        <f t="shared" si="261"/>
        <v>0</v>
      </c>
      <c r="CI183" s="131">
        <f t="shared" si="216"/>
        <v>0</v>
      </c>
      <c r="CJ183" s="131"/>
      <c r="CK183" s="136">
        <f t="shared" si="217"/>
        <v>0</v>
      </c>
      <c r="CL183" s="136">
        <f t="shared" si="218"/>
        <v>804.25411383551102</v>
      </c>
      <c r="CM183" s="131">
        <f t="shared" si="219"/>
        <v>0</v>
      </c>
      <c r="CN183" s="136">
        <f t="shared" si="220"/>
        <v>0</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f t="shared" si="226"/>
        <v>0</v>
      </c>
      <c r="DC183" s="131">
        <f t="shared" si="185"/>
        <v>0</v>
      </c>
      <c r="DD183" s="131">
        <f t="shared" si="227"/>
        <v>0</v>
      </c>
      <c r="DE183" s="131">
        <f t="shared" si="228"/>
        <v>0</v>
      </c>
      <c r="DF183" s="131">
        <f t="shared" si="229"/>
        <v>0</v>
      </c>
      <c r="DG183" s="131">
        <f t="shared" si="230"/>
        <v>0</v>
      </c>
      <c r="DH183" s="131"/>
      <c r="DI183" s="131"/>
      <c r="DJ183" s="131"/>
      <c r="DK183" s="137">
        <f t="shared" si="260"/>
        <v>4620.5129979953599</v>
      </c>
      <c r="DL183" s="227" t="e">
        <f t="shared" si="231"/>
        <v>#REF!</v>
      </c>
      <c r="DM183" s="227" t="e">
        <f t="shared" si="232"/>
        <v>#REF!</v>
      </c>
      <c r="DN183" s="228" t="e">
        <f t="shared" si="186"/>
        <v>#REF!</v>
      </c>
      <c r="DO183" s="228">
        <f t="shared" si="233"/>
        <v>194.35242757490622</v>
      </c>
      <c r="DP183" s="228" t="e">
        <f t="shared" si="234"/>
        <v>#REF!</v>
      </c>
      <c r="DQ183" s="228" t="e">
        <f t="shared" si="235"/>
        <v>#REF!</v>
      </c>
    </row>
    <row r="184" spans="1:121">
      <c r="A184" s="132">
        <f t="shared" si="265"/>
        <v>174</v>
      </c>
      <c r="B184" s="18">
        <f t="shared" si="236"/>
        <v>174</v>
      </c>
      <c r="C184" s="18">
        <f>IF(A184=0," ",VLOOKUP(B184,'tosafot '!$A$7:$B$234,2,0))</f>
        <v>6.2022000000000004</v>
      </c>
      <c r="D184" s="220">
        <f t="shared" si="237"/>
        <v>228</v>
      </c>
      <c r="E184" s="130">
        <f t="shared" si="238"/>
        <v>12.2026</v>
      </c>
      <c r="F184" s="126">
        <f t="shared" si="239"/>
        <v>22</v>
      </c>
      <c r="G184" s="18" t="str">
        <f t="shared" si="240"/>
        <v>התחבורה</v>
      </c>
      <c r="H184" s="189">
        <f t="shared" si="241"/>
        <v>122</v>
      </c>
      <c r="I184" s="18">
        <f t="shared" si="242"/>
        <v>1</v>
      </c>
      <c r="J184" s="18" t="str">
        <f t="shared" si="243"/>
        <v>מינהלי - עובדי מדינה</v>
      </c>
      <c r="K184" s="189">
        <f t="shared" si="244"/>
        <v>1</v>
      </c>
      <c r="L184" s="18">
        <f t="shared" si="245"/>
        <v>12</v>
      </c>
      <c r="M184" s="129" t="str">
        <f t="shared" si="246"/>
        <v>17+</v>
      </c>
      <c r="N184" s="189"/>
      <c r="O184" s="132">
        <f t="shared" si="247"/>
        <v>1012</v>
      </c>
      <c r="P184" s="127">
        <f t="shared" si="248"/>
        <v>37</v>
      </c>
      <c r="Q184" s="127">
        <f t="shared" si="249"/>
        <v>36.75</v>
      </c>
      <c r="R184" s="128">
        <f t="shared" si="250"/>
        <v>148</v>
      </c>
      <c r="S184" s="130">
        <f t="shared" si="251"/>
        <v>1.4414995494685181</v>
      </c>
      <c r="T184" s="135">
        <f t="shared" si="188"/>
        <v>0</v>
      </c>
      <c r="U184" s="127">
        <f t="shared" si="189"/>
        <v>0</v>
      </c>
      <c r="V184" s="217">
        <v>0</v>
      </c>
      <c r="W184" s="191">
        <v>0</v>
      </c>
      <c r="X184" s="133">
        <v>0</v>
      </c>
      <c r="Y184" s="131">
        <f t="shared" si="190"/>
        <v>2438.5</v>
      </c>
      <c r="Z184" s="131">
        <f t="shared" si="191"/>
        <v>1076.5966513789815</v>
      </c>
      <c r="AA184" s="242">
        <f t="shared" si="192"/>
        <v>3515.0966513789817</v>
      </c>
      <c r="AB184" s="131">
        <f t="shared" si="193"/>
        <v>0</v>
      </c>
      <c r="AC184" s="131">
        <f t="shared" si="194"/>
        <v>140.60386605515927</v>
      </c>
      <c r="AD184" s="131">
        <f t="shared" si="195"/>
        <v>0</v>
      </c>
      <c r="AE184" s="131">
        <f t="shared" si="196"/>
        <v>0</v>
      </c>
      <c r="AF184" s="131">
        <f t="shared" si="197"/>
        <v>0</v>
      </c>
      <c r="AG184" s="131">
        <f t="shared" si="198"/>
        <v>0</v>
      </c>
      <c r="AH184" s="131">
        <f t="shared" si="199"/>
        <v>0</v>
      </c>
      <c r="AI184" s="131">
        <f t="shared" si="200"/>
        <v>0</v>
      </c>
      <c r="AJ184" s="131">
        <f t="shared" si="201"/>
        <v>0</v>
      </c>
      <c r="AK184" s="131"/>
      <c r="AL184" s="131">
        <f t="shared" si="202"/>
        <v>0</v>
      </c>
      <c r="AM184" s="131"/>
      <c r="AN184" s="243">
        <f t="shared" si="203"/>
        <v>0</v>
      </c>
      <c r="AO184" s="131">
        <f t="shared" si="204"/>
        <v>0</v>
      </c>
      <c r="AP184" s="131">
        <f t="shared" si="205"/>
        <v>0</v>
      </c>
      <c r="AQ184" s="131"/>
      <c r="AR184" s="131">
        <f t="shared" si="206"/>
        <v>0</v>
      </c>
      <c r="AS184" s="131">
        <f t="shared" si="252"/>
        <v>0</v>
      </c>
      <c r="AT184" s="131">
        <f t="shared" si="207"/>
        <v>0</v>
      </c>
      <c r="AU184" s="131">
        <f t="shared" si="208"/>
        <v>0</v>
      </c>
      <c r="AV184" s="131"/>
      <c r="AW184" s="131">
        <f t="shared" si="209"/>
        <v>0</v>
      </c>
      <c r="AX184" s="131">
        <f t="shared" si="263"/>
        <v>0</v>
      </c>
      <c r="AY184" s="131">
        <f t="shared" si="210"/>
        <v>0</v>
      </c>
      <c r="AZ184" s="131"/>
      <c r="BA184" s="131">
        <f t="shared" si="264"/>
        <v>0</v>
      </c>
      <c r="BB184" s="131"/>
      <c r="BC184" s="131"/>
      <c r="BD184" s="131">
        <f t="shared" si="211"/>
        <v>0</v>
      </c>
      <c r="BE184" s="131"/>
      <c r="BF184" s="131">
        <f t="shared" si="253"/>
        <v>0</v>
      </c>
      <c r="BG184" s="131">
        <f t="shared" si="254"/>
        <v>0</v>
      </c>
      <c r="BH184" s="131"/>
      <c r="BI184" s="131"/>
      <c r="BJ184" s="131"/>
      <c r="BK184" s="131">
        <f t="shared" si="255"/>
        <v>0</v>
      </c>
      <c r="BL184" s="131"/>
      <c r="BM184" s="131"/>
      <c r="BN184" s="131">
        <f t="shared" si="256"/>
        <v>0</v>
      </c>
      <c r="BO184" s="131"/>
      <c r="BP184" s="131">
        <f t="shared" si="257"/>
        <v>0</v>
      </c>
      <c r="BQ184" s="131"/>
      <c r="BR184" s="131"/>
      <c r="BS184" s="131"/>
      <c r="BT184" s="131"/>
      <c r="BU184" s="131"/>
      <c r="BV184" s="131">
        <f t="shared" si="258"/>
        <v>0</v>
      </c>
      <c r="BW184" s="131"/>
      <c r="BX184" s="131"/>
      <c r="BY184" s="131"/>
      <c r="BZ184" s="131">
        <f t="shared" si="259"/>
        <v>0</v>
      </c>
      <c r="CA184" s="131"/>
      <c r="CB184" s="136">
        <f t="shared" si="212"/>
        <v>160.55836672570746</v>
      </c>
      <c r="CC184" s="131">
        <f t="shared" si="213"/>
        <v>0</v>
      </c>
      <c r="CD184" s="136">
        <f t="shared" si="214"/>
        <v>0</v>
      </c>
      <c r="CE184" s="131">
        <f t="shared" si="262"/>
        <v>0</v>
      </c>
      <c r="CF184" s="136">
        <f t="shared" si="215"/>
        <v>0</v>
      </c>
      <c r="CG184" s="136"/>
      <c r="CH184" s="136">
        <f t="shared" si="261"/>
        <v>0</v>
      </c>
      <c r="CI184" s="131">
        <f t="shared" si="216"/>
        <v>0</v>
      </c>
      <c r="CJ184" s="131"/>
      <c r="CK184" s="136">
        <f t="shared" si="217"/>
        <v>0</v>
      </c>
      <c r="CL184" s="136">
        <f t="shared" si="218"/>
        <v>804.25411383551102</v>
      </c>
      <c r="CM184" s="131">
        <f t="shared" si="219"/>
        <v>0</v>
      </c>
      <c r="CN184" s="136">
        <f t="shared" si="220"/>
        <v>0</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f t="shared" si="226"/>
        <v>0</v>
      </c>
      <c r="DC184" s="131">
        <f t="shared" si="185"/>
        <v>0</v>
      </c>
      <c r="DD184" s="131">
        <f t="shared" si="227"/>
        <v>0</v>
      </c>
      <c r="DE184" s="131">
        <f t="shared" si="228"/>
        <v>0</v>
      </c>
      <c r="DF184" s="131">
        <f t="shared" si="229"/>
        <v>0</v>
      </c>
      <c r="DG184" s="131">
        <f t="shared" si="230"/>
        <v>0</v>
      </c>
      <c r="DH184" s="131"/>
      <c r="DI184" s="131"/>
      <c r="DJ184" s="131"/>
      <c r="DK184" s="137">
        <f t="shared" si="260"/>
        <v>4620.5129979953599</v>
      </c>
      <c r="DL184" s="227" t="e">
        <f t="shared" si="231"/>
        <v>#REF!</v>
      </c>
      <c r="DM184" s="227" t="e">
        <f t="shared" si="232"/>
        <v>#REF!</v>
      </c>
      <c r="DN184" s="228" t="e">
        <f t="shared" si="186"/>
        <v>#REF!</v>
      </c>
      <c r="DO184" s="228">
        <f t="shared" si="233"/>
        <v>194.35242757490622</v>
      </c>
      <c r="DP184" s="228" t="e">
        <f t="shared" si="234"/>
        <v>#REF!</v>
      </c>
      <c r="DQ184" s="228" t="e">
        <f t="shared" si="235"/>
        <v>#REF!</v>
      </c>
    </row>
    <row r="185" spans="1:121">
      <c r="A185" s="132">
        <f t="shared" si="265"/>
        <v>175</v>
      </c>
      <c r="B185" s="18">
        <f t="shared" si="236"/>
        <v>175</v>
      </c>
      <c r="C185" s="18">
        <f>IF(A185=0," ",VLOOKUP(B185,'tosafot '!$A$7:$B$234,2,0))</f>
        <v>7.2022000000000004</v>
      </c>
      <c r="D185" s="220">
        <f t="shared" si="237"/>
        <v>228</v>
      </c>
      <c r="E185" s="130">
        <f t="shared" si="238"/>
        <v>12.2026</v>
      </c>
      <c r="F185" s="126">
        <f t="shared" si="239"/>
        <v>22</v>
      </c>
      <c r="G185" s="18" t="str">
        <f t="shared" si="240"/>
        <v>התחבורה</v>
      </c>
      <c r="H185" s="189">
        <f t="shared" si="241"/>
        <v>122</v>
      </c>
      <c r="I185" s="18">
        <f t="shared" si="242"/>
        <v>1</v>
      </c>
      <c r="J185" s="18" t="str">
        <f t="shared" si="243"/>
        <v>מינהלי - עובדי מדינה</v>
      </c>
      <c r="K185" s="189">
        <f t="shared" si="244"/>
        <v>1</v>
      </c>
      <c r="L185" s="18">
        <f t="shared" si="245"/>
        <v>12</v>
      </c>
      <c r="M185" s="129" t="str">
        <f t="shared" si="246"/>
        <v>17+</v>
      </c>
      <c r="N185" s="189"/>
      <c r="O185" s="132">
        <f t="shared" si="247"/>
        <v>1012</v>
      </c>
      <c r="P185" s="127">
        <f t="shared" si="248"/>
        <v>37</v>
      </c>
      <c r="Q185" s="127">
        <f t="shared" si="249"/>
        <v>36.75</v>
      </c>
      <c r="R185" s="128">
        <f t="shared" si="250"/>
        <v>148</v>
      </c>
      <c r="S185" s="130">
        <f t="shared" si="251"/>
        <v>1.4414995494685181</v>
      </c>
      <c r="T185" s="135">
        <f t="shared" si="188"/>
        <v>0</v>
      </c>
      <c r="U185" s="127">
        <f t="shared" si="189"/>
        <v>0</v>
      </c>
      <c r="V185" s="217">
        <v>0</v>
      </c>
      <c r="W185" s="191">
        <v>0</v>
      </c>
      <c r="X185" s="133">
        <v>0</v>
      </c>
      <c r="Y185" s="131">
        <f t="shared" si="190"/>
        <v>2438.5</v>
      </c>
      <c r="Z185" s="131">
        <f t="shared" si="191"/>
        <v>1076.5966513789815</v>
      </c>
      <c r="AA185" s="242">
        <f t="shared" si="192"/>
        <v>3515.0966513789817</v>
      </c>
      <c r="AB185" s="131">
        <f t="shared" si="193"/>
        <v>0</v>
      </c>
      <c r="AC185" s="131">
        <f t="shared" si="194"/>
        <v>140.60386605515927</v>
      </c>
      <c r="AD185" s="131">
        <f t="shared" si="195"/>
        <v>0</v>
      </c>
      <c r="AE185" s="131">
        <f t="shared" si="196"/>
        <v>0</v>
      </c>
      <c r="AF185" s="131">
        <f t="shared" si="197"/>
        <v>0</v>
      </c>
      <c r="AG185" s="131">
        <f t="shared" si="198"/>
        <v>0</v>
      </c>
      <c r="AH185" s="131">
        <f t="shared" si="199"/>
        <v>0</v>
      </c>
      <c r="AI185" s="131">
        <f t="shared" si="200"/>
        <v>0</v>
      </c>
      <c r="AJ185" s="131">
        <f t="shared" si="201"/>
        <v>0</v>
      </c>
      <c r="AK185" s="131"/>
      <c r="AL185" s="131">
        <f t="shared" si="202"/>
        <v>0</v>
      </c>
      <c r="AM185" s="131"/>
      <c r="AN185" s="243">
        <f t="shared" si="203"/>
        <v>0</v>
      </c>
      <c r="AO185" s="131">
        <f t="shared" si="204"/>
        <v>0</v>
      </c>
      <c r="AP185" s="131">
        <f t="shared" si="205"/>
        <v>0</v>
      </c>
      <c r="AQ185" s="131"/>
      <c r="AR185" s="131">
        <f t="shared" si="206"/>
        <v>0</v>
      </c>
      <c r="AS185" s="131">
        <f t="shared" si="252"/>
        <v>0</v>
      </c>
      <c r="AT185" s="131">
        <f t="shared" si="207"/>
        <v>0</v>
      </c>
      <c r="AU185" s="131">
        <f t="shared" si="208"/>
        <v>0</v>
      </c>
      <c r="AV185" s="131"/>
      <c r="AW185" s="131">
        <f t="shared" si="209"/>
        <v>0</v>
      </c>
      <c r="AX185" s="131">
        <f t="shared" si="263"/>
        <v>0</v>
      </c>
      <c r="AY185" s="131">
        <f t="shared" si="210"/>
        <v>0</v>
      </c>
      <c r="AZ185" s="131"/>
      <c r="BA185" s="131">
        <f t="shared" si="264"/>
        <v>0</v>
      </c>
      <c r="BB185" s="131"/>
      <c r="BC185" s="131"/>
      <c r="BD185" s="131">
        <f t="shared" si="211"/>
        <v>0</v>
      </c>
      <c r="BE185" s="131"/>
      <c r="BF185" s="131">
        <f t="shared" si="253"/>
        <v>0</v>
      </c>
      <c r="BG185" s="131">
        <f t="shared" si="254"/>
        <v>0</v>
      </c>
      <c r="BH185" s="131"/>
      <c r="BI185" s="131"/>
      <c r="BJ185" s="131"/>
      <c r="BK185" s="131">
        <f t="shared" si="255"/>
        <v>0</v>
      </c>
      <c r="BL185" s="131"/>
      <c r="BM185" s="131"/>
      <c r="BN185" s="131">
        <f t="shared" si="256"/>
        <v>0</v>
      </c>
      <c r="BO185" s="131"/>
      <c r="BP185" s="131">
        <f t="shared" si="257"/>
        <v>0</v>
      </c>
      <c r="BQ185" s="131"/>
      <c r="BR185" s="131"/>
      <c r="BS185" s="131"/>
      <c r="BT185" s="131"/>
      <c r="BU185" s="131"/>
      <c r="BV185" s="131">
        <f t="shared" si="258"/>
        <v>0</v>
      </c>
      <c r="BW185" s="131"/>
      <c r="BX185" s="131"/>
      <c r="BY185" s="131"/>
      <c r="BZ185" s="131">
        <f t="shared" si="259"/>
        <v>0</v>
      </c>
      <c r="CA185" s="131"/>
      <c r="CB185" s="136">
        <f t="shared" si="212"/>
        <v>160.55836672570746</v>
      </c>
      <c r="CC185" s="131">
        <f t="shared" si="213"/>
        <v>0</v>
      </c>
      <c r="CD185" s="136">
        <f t="shared" si="214"/>
        <v>0</v>
      </c>
      <c r="CE185" s="131">
        <f t="shared" si="262"/>
        <v>0</v>
      </c>
      <c r="CF185" s="136">
        <f t="shared" si="215"/>
        <v>0</v>
      </c>
      <c r="CG185" s="136"/>
      <c r="CH185" s="136">
        <f t="shared" si="261"/>
        <v>0</v>
      </c>
      <c r="CI185" s="131">
        <f t="shared" si="216"/>
        <v>0</v>
      </c>
      <c r="CJ185" s="131"/>
      <c r="CK185" s="136">
        <f t="shared" si="217"/>
        <v>0</v>
      </c>
      <c r="CL185" s="136">
        <f t="shared" si="218"/>
        <v>804.25411383551102</v>
      </c>
      <c r="CM185" s="131">
        <f t="shared" si="219"/>
        <v>0</v>
      </c>
      <c r="CN185" s="136">
        <f t="shared" si="220"/>
        <v>0</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f t="shared" si="226"/>
        <v>0</v>
      </c>
      <c r="DC185" s="131">
        <f t="shared" si="185"/>
        <v>0</v>
      </c>
      <c r="DD185" s="131">
        <f t="shared" si="227"/>
        <v>0</v>
      </c>
      <c r="DE185" s="131">
        <f t="shared" si="228"/>
        <v>0</v>
      </c>
      <c r="DF185" s="131">
        <f t="shared" si="229"/>
        <v>0</v>
      </c>
      <c r="DG185" s="131">
        <f t="shared" si="230"/>
        <v>0</v>
      </c>
      <c r="DH185" s="131"/>
      <c r="DI185" s="131"/>
      <c r="DJ185" s="131"/>
      <c r="DK185" s="137">
        <f t="shared" si="260"/>
        <v>4620.5129979953599</v>
      </c>
      <c r="DL185" s="227" t="e">
        <f t="shared" si="231"/>
        <v>#REF!</v>
      </c>
      <c r="DM185" s="227" t="e">
        <f t="shared" si="232"/>
        <v>#REF!</v>
      </c>
      <c r="DN185" s="228" t="e">
        <f t="shared" si="186"/>
        <v>#REF!</v>
      </c>
      <c r="DO185" s="228">
        <f t="shared" si="233"/>
        <v>194.35242757490622</v>
      </c>
      <c r="DP185" s="228" t="e">
        <f t="shared" si="234"/>
        <v>#REF!</v>
      </c>
      <c r="DQ185" s="228" t="e">
        <f t="shared" si="235"/>
        <v>#REF!</v>
      </c>
    </row>
    <row r="186" spans="1:121">
      <c r="A186" s="132">
        <f t="shared" si="265"/>
        <v>176</v>
      </c>
      <c r="B186" s="18">
        <f t="shared" si="236"/>
        <v>176</v>
      </c>
      <c r="C186" s="18">
        <f>IF(A186=0," ",VLOOKUP(B186,'tosafot '!$A$7:$B$234,2,0))</f>
        <v>8.2021999999999995</v>
      </c>
      <c r="D186" s="220">
        <f t="shared" si="237"/>
        <v>228</v>
      </c>
      <c r="E186" s="130">
        <f t="shared" si="238"/>
        <v>12.2026</v>
      </c>
      <c r="F186" s="126">
        <f t="shared" si="239"/>
        <v>22</v>
      </c>
      <c r="G186" s="18" t="str">
        <f t="shared" si="240"/>
        <v>התחבורה</v>
      </c>
      <c r="H186" s="189">
        <f t="shared" si="241"/>
        <v>122</v>
      </c>
      <c r="I186" s="18">
        <f t="shared" si="242"/>
        <v>1</v>
      </c>
      <c r="J186" s="18" t="str">
        <f t="shared" si="243"/>
        <v>מינהלי - עובדי מדינה</v>
      </c>
      <c r="K186" s="189">
        <f t="shared" si="244"/>
        <v>1</v>
      </c>
      <c r="L186" s="18">
        <f t="shared" si="245"/>
        <v>12</v>
      </c>
      <c r="M186" s="129" t="str">
        <f t="shared" si="246"/>
        <v>17+</v>
      </c>
      <c r="N186" s="189"/>
      <c r="O186" s="132">
        <f t="shared" si="247"/>
        <v>1012</v>
      </c>
      <c r="P186" s="127">
        <f t="shared" si="248"/>
        <v>37</v>
      </c>
      <c r="Q186" s="127">
        <f t="shared" si="249"/>
        <v>36.75</v>
      </c>
      <c r="R186" s="128">
        <f t="shared" si="250"/>
        <v>148</v>
      </c>
      <c r="S186" s="130">
        <f t="shared" si="251"/>
        <v>1.4414995494685181</v>
      </c>
      <c r="T186" s="135">
        <f t="shared" si="188"/>
        <v>0</v>
      </c>
      <c r="U186" s="127">
        <f t="shared" si="189"/>
        <v>0</v>
      </c>
      <c r="V186" s="217">
        <v>0</v>
      </c>
      <c r="W186" s="191">
        <v>0</v>
      </c>
      <c r="X186" s="133">
        <v>0</v>
      </c>
      <c r="Y186" s="131">
        <f t="shared" si="190"/>
        <v>2438.5</v>
      </c>
      <c r="Z186" s="131">
        <f t="shared" si="191"/>
        <v>1076.5966513789815</v>
      </c>
      <c r="AA186" s="242">
        <f t="shared" si="192"/>
        <v>3515.0966513789817</v>
      </c>
      <c r="AB186" s="131">
        <f t="shared" si="193"/>
        <v>0</v>
      </c>
      <c r="AC186" s="131">
        <f t="shared" si="194"/>
        <v>140.60386605515927</v>
      </c>
      <c r="AD186" s="131">
        <f t="shared" si="195"/>
        <v>0</v>
      </c>
      <c r="AE186" s="131">
        <f t="shared" si="196"/>
        <v>0</v>
      </c>
      <c r="AF186" s="131">
        <f t="shared" si="197"/>
        <v>0</v>
      </c>
      <c r="AG186" s="131">
        <f t="shared" si="198"/>
        <v>0</v>
      </c>
      <c r="AH186" s="131">
        <f t="shared" si="199"/>
        <v>0</v>
      </c>
      <c r="AI186" s="131">
        <f t="shared" si="200"/>
        <v>0</v>
      </c>
      <c r="AJ186" s="131">
        <f t="shared" si="201"/>
        <v>0</v>
      </c>
      <c r="AK186" s="131"/>
      <c r="AL186" s="131">
        <f t="shared" si="202"/>
        <v>0</v>
      </c>
      <c r="AM186" s="131"/>
      <c r="AN186" s="243">
        <f t="shared" si="203"/>
        <v>0</v>
      </c>
      <c r="AO186" s="131">
        <f t="shared" si="204"/>
        <v>0</v>
      </c>
      <c r="AP186" s="131">
        <f t="shared" si="205"/>
        <v>0</v>
      </c>
      <c r="AQ186" s="131"/>
      <c r="AR186" s="131">
        <f t="shared" si="206"/>
        <v>0</v>
      </c>
      <c r="AS186" s="131">
        <f t="shared" si="252"/>
        <v>0</v>
      </c>
      <c r="AT186" s="131">
        <f t="shared" si="207"/>
        <v>0</v>
      </c>
      <c r="AU186" s="131">
        <f t="shared" si="208"/>
        <v>0</v>
      </c>
      <c r="AV186" s="131"/>
      <c r="AW186" s="131">
        <f t="shared" si="209"/>
        <v>0</v>
      </c>
      <c r="AX186" s="131">
        <f t="shared" si="263"/>
        <v>0</v>
      </c>
      <c r="AY186" s="131">
        <f t="shared" si="210"/>
        <v>0</v>
      </c>
      <c r="AZ186" s="131"/>
      <c r="BA186" s="131">
        <f t="shared" si="264"/>
        <v>0</v>
      </c>
      <c r="BB186" s="131"/>
      <c r="BC186" s="131"/>
      <c r="BD186" s="131">
        <f t="shared" si="211"/>
        <v>0</v>
      </c>
      <c r="BE186" s="131"/>
      <c r="BF186" s="131">
        <f t="shared" si="253"/>
        <v>0</v>
      </c>
      <c r="BG186" s="131">
        <f t="shared" si="254"/>
        <v>0</v>
      </c>
      <c r="BH186" s="131"/>
      <c r="BI186" s="131"/>
      <c r="BJ186" s="131"/>
      <c r="BK186" s="131">
        <f t="shared" si="255"/>
        <v>0</v>
      </c>
      <c r="BL186" s="131"/>
      <c r="BM186" s="131"/>
      <c r="BN186" s="131">
        <f t="shared" si="256"/>
        <v>0</v>
      </c>
      <c r="BO186" s="131"/>
      <c r="BP186" s="131">
        <f t="shared" si="257"/>
        <v>0</v>
      </c>
      <c r="BQ186" s="131"/>
      <c r="BR186" s="131"/>
      <c r="BS186" s="131"/>
      <c r="BT186" s="131"/>
      <c r="BU186" s="131"/>
      <c r="BV186" s="131">
        <f t="shared" si="258"/>
        <v>0</v>
      </c>
      <c r="BW186" s="131"/>
      <c r="BX186" s="131"/>
      <c r="BY186" s="131"/>
      <c r="BZ186" s="131">
        <f t="shared" si="259"/>
        <v>0</v>
      </c>
      <c r="CA186" s="131"/>
      <c r="CB186" s="136">
        <f t="shared" si="212"/>
        <v>160.55836672570746</v>
      </c>
      <c r="CC186" s="131">
        <f t="shared" si="213"/>
        <v>0</v>
      </c>
      <c r="CD186" s="136">
        <f t="shared" si="214"/>
        <v>0</v>
      </c>
      <c r="CE186" s="131">
        <f t="shared" si="262"/>
        <v>0</v>
      </c>
      <c r="CF186" s="136">
        <f t="shared" si="215"/>
        <v>0</v>
      </c>
      <c r="CG186" s="136"/>
      <c r="CH186" s="136">
        <f t="shared" si="261"/>
        <v>0</v>
      </c>
      <c r="CI186" s="131">
        <f t="shared" si="216"/>
        <v>0</v>
      </c>
      <c r="CJ186" s="131"/>
      <c r="CK186" s="136">
        <f t="shared" si="217"/>
        <v>0</v>
      </c>
      <c r="CL186" s="136">
        <f t="shared" si="218"/>
        <v>804.25411383551102</v>
      </c>
      <c r="CM186" s="131">
        <f t="shared" si="219"/>
        <v>0</v>
      </c>
      <c r="CN186" s="136">
        <f t="shared" si="220"/>
        <v>0</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f t="shared" si="226"/>
        <v>0</v>
      </c>
      <c r="DC186" s="131">
        <f t="shared" si="185"/>
        <v>0</v>
      </c>
      <c r="DD186" s="131">
        <f t="shared" si="227"/>
        <v>0</v>
      </c>
      <c r="DE186" s="131">
        <f t="shared" si="228"/>
        <v>0</v>
      </c>
      <c r="DF186" s="131">
        <f t="shared" si="229"/>
        <v>0</v>
      </c>
      <c r="DG186" s="131">
        <f t="shared" si="230"/>
        <v>0</v>
      </c>
      <c r="DH186" s="131"/>
      <c r="DI186" s="131"/>
      <c r="DJ186" s="131"/>
      <c r="DK186" s="137">
        <f t="shared" si="260"/>
        <v>4620.5129979953599</v>
      </c>
      <c r="DL186" s="227" t="e">
        <f t="shared" si="231"/>
        <v>#REF!</v>
      </c>
      <c r="DM186" s="227" t="e">
        <f t="shared" si="232"/>
        <v>#REF!</v>
      </c>
      <c r="DN186" s="228" t="e">
        <f t="shared" si="186"/>
        <v>#REF!</v>
      </c>
      <c r="DO186" s="228">
        <f t="shared" si="233"/>
        <v>194.35242757490622</v>
      </c>
      <c r="DP186" s="228" t="e">
        <f t="shared" si="234"/>
        <v>#REF!</v>
      </c>
      <c r="DQ186" s="228" t="e">
        <f t="shared" si="235"/>
        <v>#REF!</v>
      </c>
    </row>
    <row r="187" spans="1:121">
      <c r="A187" s="132">
        <f t="shared" si="265"/>
        <v>177</v>
      </c>
      <c r="B187" s="18">
        <f t="shared" si="236"/>
        <v>177</v>
      </c>
      <c r="C187" s="18">
        <f>IF(A187=0," ",VLOOKUP(B187,'tosafot '!$A$7:$B$234,2,0))</f>
        <v>9.2021999999999995</v>
      </c>
      <c r="D187" s="220">
        <f t="shared" si="237"/>
        <v>228</v>
      </c>
      <c r="E187" s="130">
        <f t="shared" si="238"/>
        <v>12.2026</v>
      </c>
      <c r="F187" s="126">
        <f t="shared" si="239"/>
        <v>22</v>
      </c>
      <c r="G187" s="18" t="str">
        <f t="shared" si="240"/>
        <v>התחבורה</v>
      </c>
      <c r="H187" s="189">
        <f t="shared" si="241"/>
        <v>122</v>
      </c>
      <c r="I187" s="18">
        <f t="shared" si="242"/>
        <v>1</v>
      </c>
      <c r="J187" s="18" t="str">
        <f t="shared" si="243"/>
        <v>מינהלי - עובדי מדינה</v>
      </c>
      <c r="K187" s="189">
        <f t="shared" si="244"/>
        <v>1</v>
      </c>
      <c r="L187" s="18">
        <f t="shared" si="245"/>
        <v>12</v>
      </c>
      <c r="M187" s="129" t="str">
        <f t="shared" si="246"/>
        <v>17+</v>
      </c>
      <c r="N187" s="189"/>
      <c r="O187" s="132">
        <f t="shared" si="247"/>
        <v>1012</v>
      </c>
      <c r="P187" s="127">
        <f t="shared" si="248"/>
        <v>37</v>
      </c>
      <c r="Q187" s="127">
        <f t="shared" si="249"/>
        <v>36.75</v>
      </c>
      <c r="R187" s="128">
        <f t="shared" si="250"/>
        <v>148</v>
      </c>
      <c r="S187" s="130">
        <f t="shared" si="251"/>
        <v>1.4414995494685181</v>
      </c>
      <c r="T187" s="135">
        <f t="shared" si="188"/>
        <v>0</v>
      </c>
      <c r="U187" s="127">
        <f t="shared" si="189"/>
        <v>0</v>
      </c>
      <c r="V187" s="217">
        <v>0</v>
      </c>
      <c r="W187" s="191">
        <v>0</v>
      </c>
      <c r="X187" s="133">
        <v>0</v>
      </c>
      <c r="Y187" s="131">
        <f t="shared" si="190"/>
        <v>2438.5</v>
      </c>
      <c r="Z187" s="131">
        <f t="shared" si="191"/>
        <v>1076.5966513789815</v>
      </c>
      <c r="AA187" s="242">
        <f t="shared" si="192"/>
        <v>3515.0966513789817</v>
      </c>
      <c r="AB187" s="131">
        <f t="shared" si="193"/>
        <v>0</v>
      </c>
      <c r="AC187" s="131">
        <f t="shared" si="194"/>
        <v>140.60386605515927</v>
      </c>
      <c r="AD187" s="131">
        <f t="shared" si="195"/>
        <v>0</v>
      </c>
      <c r="AE187" s="131">
        <f t="shared" si="196"/>
        <v>0</v>
      </c>
      <c r="AF187" s="131">
        <f t="shared" si="197"/>
        <v>0</v>
      </c>
      <c r="AG187" s="131">
        <f t="shared" si="198"/>
        <v>0</v>
      </c>
      <c r="AH187" s="131">
        <f t="shared" si="199"/>
        <v>0</v>
      </c>
      <c r="AI187" s="131">
        <f t="shared" si="200"/>
        <v>0</v>
      </c>
      <c r="AJ187" s="131">
        <f t="shared" si="201"/>
        <v>0</v>
      </c>
      <c r="AK187" s="131"/>
      <c r="AL187" s="131">
        <f t="shared" si="202"/>
        <v>0</v>
      </c>
      <c r="AM187" s="131"/>
      <c r="AN187" s="243">
        <f t="shared" si="203"/>
        <v>0</v>
      </c>
      <c r="AO187" s="131">
        <f t="shared" si="204"/>
        <v>0</v>
      </c>
      <c r="AP187" s="131">
        <f t="shared" si="205"/>
        <v>0</v>
      </c>
      <c r="AQ187" s="131"/>
      <c r="AR187" s="131">
        <f t="shared" si="206"/>
        <v>0</v>
      </c>
      <c r="AS187" s="131">
        <f t="shared" si="252"/>
        <v>0</v>
      </c>
      <c r="AT187" s="131">
        <f t="shared" si="207"/>
        <v>0</v>
      </c>
      <c r="AU187" s="131">
        <f t="shared" si="208"/>
        <v>0</v>
      </c>
      <c r="AV187" s="131"/>
      <c r="AW187" s="131">
        <f t="shared" si="209"/>
        <v>0</v>
      </c>
      <c r="AX187" s="131">
        <f t="shared" si="263"/>
        <v>0</v>
      </c>
      <c r="AY187" s="131">
        <f t="shared" si="210"/>
        <v>0</v>
      </c>
      <c r="AZ187" s="131"/>
      <c r="BA187" s="131">
        <f t="shared" si="264"/>
        <v>0</v>
      </c>
      <c r="BB187" s="131"/>
      <c r="BC187" s="131"/>
      <c r="BD187" s="131">
        <f t="shared" si="211"/>
        <v>0</v>
      </c>
      <c r="BE187" s="131"/>
      <c r="BF187" s="131">
        <f t="shared" si="253"/>
        <v>0</v>
      </c>
      <c r="BG187" s="131">
        <f t="shared" si="254"/>
        <v>0</v>
      </c>
      <c r="BH187" s="131"/>
      <c r="BI187" s="131"/>
      <c r="BJ187" s="131"/>
      <c r="BK187" s="131">
        <f t="shared" si="255"/>
        <v>0</v>
      </c>
      <c r="BL187" s="131"/>
      <c r="BM187" s="131"/>
      <c r="BN187" s="131">
        <f t="shared" si="256"/>
        <v>0</v>
      </c>
      <c r="BO187" s="131"/>
      <c r="BP187" s="131">
        <f t="shared" si="257"/>
        <v>0</v>
      </c>
      <c r="BQ187" s="131"/>
      <c r="BR187" s="131"/>
      <c r="BS187" s="131"/>
      <c r="BT187" s="131"/>
      <c r="BU187" s="131"/>
      <c r="BV187" s="131">
        <f t="shared" si="258"/>
        <v>0</v>
      </c>
      <c r="BW187" s="131"/>
      <c r="BX187" s="131"/>
      <c r="BY187" s="131"/>
      <c r="BZ187" s="131">
        <f t="shared" si="259"/>
        <v>0</v>
      </c>
      <c r="CA187" s="131"/>
      <c r="CB187" s="136">
        <f t="shared" si="212"/>
        <v>160.55836672570746</v>
      </c>
      <c r="CC187" s="131">
        <f t="shared" si="213"/>
        <v>0</v>
      </c>
      <c r="CD187" s="136">
        <f t="shared" si="214"/>
        <v>0</v>
      </c>
      <c r="CE187" s="131">
        <f t="shared" si="262"/>
        <v>0</v>
      </c>
      <c r="CF187" s="136">
        <f t="shared" si="215"/>
        <v>0</v>
      </c>
      <c r="CG187" s="136"/>
      <c r="CH187" s="136">
        <f t="shared" si="261"/>
        <v>0</v>
      </c>
      <c r="CI187" s="131">
        <f t="shared" si="216"/>
        <v>0</v>
      </c>
      <c r="CJ187" s="131"/>
      <c r="CK187" s="136">
        <f t="shared" si="217"/>
        <v>0</v>
      </c>
      <c r="CL187" s="136">
        <f t="shared" si="218"/>
        <v>804.25411383551102</v>
      </c>
      <c r="CM187" s="131">
        <f t="shared" si="219"/>
        <v>0</v>
      </c>
      <c r="CN187" s="136">
        <f t="shared" si="220"/>
        <v>0</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f t="shared" si="226"/>
        <v>0</v>
      </c>
      <c r="DC187" s="131">
        <f t="shared" si="185"/>
        <v>0</v>
      </c>
      <c r="DD187" s="131">
        <f t="shared" si="227"/>
        <v>0</v>
      </c>
      <c r="DE187" s="131">
        <f t="shared" si="228"/>
        <v>0</v>
      </c>
      <c r="DF187" s="131">
        <f t="shared" si="229"/>
        <v>0</v>
      </c>
      <c r="DG187" s="131">
        <f t="shared" si="230"/>
        <v>0</v>
      </c>
      <c r="DH187" s="131"/>
      <c r="DI187" s="131"/>
      <c r="DJ187" s="131"/>
      <c r="DK187" s="137">
        <f t="shared" si="260"/>
        <v>4620.5129979953599</v>
      </c>
      <c r="DL187" s="227" t="e">
        <f t="shared" si="231"/>
        <v>#REF!</v>
      </c>
      <c r="DM187" s="227" t="e">
        <f t="shared" si="232"/>
        <v>#REF!</v>
      </c>
      <c r="DN187" s="228" t="e">
        <f t="shared" si="186"/>
        <v>#REF!</v>
      </c>
      <c r="DO187" s="228">
        <f t="shared" si="233"/>
        <v>194.35242757490622</v>
      </c>
      <c r="DP187" s="228" t="e">
        <f t="shared" si="234"/>
        <v>#REF!</v>
      </c>
      <c r="DQ187" s="228" t="e">
        <f t="shared" si="235"/>
        <v>#REF!</v>
      </c>
    </row>
    <row r="188" spans="1:121">
      <c r="A188" s="132">
        <f t="shared" si="265"/>
        <v>178</v>
      </c>
      <c r="B188" s="18">
        <f t="shared" si="236"/>
        <v>178</v>
      </c>
      <c r="C188" s="18">
        <f>IF(A188=0," ",VLOOKUP(B188,'tosafot '!$A$7:$B$234,2,0))</f>
        <v>10.202199999999999</v>
      </c>
      <c r="D188" s="220">
        <f t="shared" si="237"/>
        <v>228</v>
      </c>
      <c r="E188" s="130">
        <f t="shared" si="238"/>
        <v>12.2026</v>
      </c>
      <c r="F188" s="126">
        <f t="shared" si="239"/>
        <v>22</v>
      </c>
      <c r="G188" s="18" t="str">
        <f t="shared" si="240"/>
        <v>התחבורה</v>
      </c>
      <c r="H188" s="189">
        <f t="shared" si="241"/>
        <v>122</v>
      </c>
      <c r="I188" s="18">
        <f t="shared" si="242"/>
        <v>1</v>
      </c>
      <c r="J188" s="18" t="str">
        <f t="shared" si="243"/>
        <v>מינהלי - עובדי מדינה</v>
      </c>
      <c r="K188" s="189">
        <f t="shared" si="244"/>
        <v>1</v>
      </c>
      <c r="L188" s="18">
        <f t="shared" si="245"/>
        <v>12</v>
      </c>
      <c r="M188" s="129" t="str">
        <f t="shared" si="246"/>
        <v>17+</v>
      </c>
      <c r="N188" s="189"/>
      <c r="O188" s="132">
        <f t="shared" si="247"/>
        <v>1012</v>
      </c>
      <c r="P188" s="127">
        <f t="shared" si="248"/>
        <v>37</v>
      </c>
      <c r="Q188" s="127">
        <f t="shared" si="249"/>
        <v>36.75</v>
      </c>
      <c r="R188" s="128">
        <f t="shared" si="250"/>
        <v>148</v>
      </c>
      <c r="S188" s="130">
        <f t="shared" si="251"/>
        <v>1.4414995494685181</v>
      </c>
      <c r="T188" s="135">
        <f t="shared" si="188"/>
        <v>0</v>
      </c>
      <c r="U188" s="127">
        <f t="shared" si="189"/>
        <v>0</v>
      </c>
      <c r="V188" s="217">
        <v>0</v>
      </c>
      <c r="W188" s="191">
        <v>0</v>
      </c>
      <c r="X188" s="133">
        <v>0</v>
      </c>
      <c r="Y188" s="131">
        <f t="shared" si="190"/>
        <v>2438.5</v>
      </c>
      <c r="Z188" s="131">
        <f t="shared" si="191"/>
        <v>1076.5966513789815</v>
      </c>
      <c r="AA188" s="242">
        <f t="shared" si="192"/>
        <v>3515.0966513789817</v>
      </c>
      <c r="AB188" s="131">
        <f t="shared" si="193"/>
        <v>0</v>
      </c>
      <c r="AC188" s="131">
        <f t="shared" si="194"/>
        <v>140.60386605515927</v>
      </c>
      <c r="AD188" s="131">
        <f t="shared" si="195"/>
        <v>0</v>
      </c>
      <c r="AE188" s="131">
        <f t="shared" si="196"/>
        <v>0</v>
      </c>
      <c r="AF188" s="131">
        <f t="shared" si="197"/>
        <v>0</v>
      </c>
      <c r="AG188" s="131">
        <f t="shared" si="198"/>
        <v>0</v>
      </c>
      <c r="AH188" s="131">
        <f t="shared" si="199"/>
        <v>0</v>
      </c>
      <c r="AI188" s="131">
        <f t="shared" si="200"/>
        <v>0</v>
      </c>
      <c r="AJ188" s="131">
        <f t="shared" si="201"/>
        <v>0</v>
      </c>
      <c r="AK188" s="131"/>
      <c r="AL188" s="131">
        <f t="shared" si="202"/>
        <v>0</v>
      </c>
      <c r="AM188" s="131"/>
      <c r="AN188" s="243">
        <f t="shared" si="203"/>
        <v>0</v>
      </c>
      <c r="AO188" s="131">
        <f t="shared" si="204"/>
        <v>0</v>
      </c>
      <c r="AP188" s="131">
        <f t="shared" si="205"/>
        <v>0</v>
      </c>
      <c r="AQ188" s="131"/>
      <c r="AR188" s="131">
        <f t="shared" si="206"/>
        <v>0</v>
      </c>
      <c r="AS188" s="131">
        <f t="shared" si="252"/>
        <v>0</v>
      </c>
      <c r="AT188" s="131">
        <f t="shared" si="207"/>
        <v>0</v>
      </c>
      <c r="AU188" s="131">
        <f t="shared" si="208"/>
        <v>0</v>
      </c>
      <c r="AV188" s="131"/>
      <c r="AW188" s="131">
        <f t="shared" si="209"/>
        <v>0</v>
      </c>
      <c r="AX188" s="131">
        <f t="shared" si="263"/>
        <v>0</v>
      </c>
      <c r="AY188" s="131">
        <f t="shared" si="210"/>
        <v>0</v>
      </c>
      <c r="AZ188" s="131"/>
      <c r="BA188" s="131">
        <f t="shared" si="264"/>
        <v>0</v>
      </c>
      <c r="BB188" s="131"/>
      <c r="BC188" s="131"/>
      <c r="BD188" s="131">
        <f t="shared" si="211"/>
        <v>0</v>
      </c>
      <c r="BE188" s="131"/>
      <c r="BF188" s="131">
        <f t="shared" si="253"/>
        <v>0</v>
      </c>
      <c r="BG188" s="131">
        <f t="shared" si="254"/>
        <v>0</v>
      </c>
      <c r="BH188" s="131"/>
      <c r="BI188" s="131"/>
      <c r="BJ188" s="131"/>
      <c r="BK188" s="131">
        <f t="shared" si="255"/>
        <v>0</v>
      </c>
      <c r="BL188" s="131"/>
      <c r="BM188" s="131"/>
      <c r="BN188" s="131">
        <f t="shared" si="256"/>
        <v>0</v>
      </c>
      <c r="BO188" s="131"/>
      <c r="BP188" s="131">
        <f t="shared" si="257"/>
        <v>0</v>
      </c>
      <c r="BQ188" s="131"/>
      <c r="BR188" s="131"/>
      <c r="BS188" s="131"/>
      <c r="BT188" s="131"/>
      <c r="BU188" s="131"/>
      <c r="BV188" s="131">
        <f t="shared" si="258"/>
        <v>0</v>
      </c>
      <c r="BW188" s="131"/>
      <c r="BX188" s="131"/>
      <c r="BY188" s="131"/>
      <c r="BZ188" s="131">
        <f t="shared" si="259"/>
        <v>0</v>
      </c>
      <c r="CA188" s="131"/>
      <c r="CB188" s="136">
        <f t="shared" si="212"/>
        <v>160.55836672570746</v>
      </c>
      <c r="CC188" s="131">
        <f t="shared" si="213"/>
        <v>0</v>
      </c>
      <c r="CD188" s="136">
        <f t="shared" si="214"/>
        <v>0</v>
      </c>
      <c r="CE188" s="131">
        <f t="shared" si="262"/>
        <v>0</v>
      </c>
      <c r="CF188" s="136">
        <f t="shared" si="215"/>
        <v>0</v>
      </c>
      <c r="CG188" s="136"/>
      <c r="CH188" s="136">
        <f t="shared" si="261"/>
        <v>0</v>
      </c>
      <c r="CI188" s="131">
        <f t="shared" si="216"/>
        <v>0</v>
      </c>
      <c r="CJ188" s="131"/>
      <c r="CK188" s="136">
        <f t="shared" si="217"/>
        <v>0</v>
      </c>
      <c r="CL188" s="136">
        <f t="shared" si="218"/>
        <v>804.25411383551102</v>
      </c>
      <c r="CM188" s="131">
        <f t="shared" si="219"/>
        <v>0</v>
      </c>
      <c r="CN188" s="136">
        <f t="shared" si="220"/>
        <v>0</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f t="shared" si="226"/>
        <v>0</v>
      </c>
      <c r="DC188" s="131">
        <f t="shared" si="185"/>
        <v>0</v>
      </c>
      <c r="DD188" s="131">
        <f t="shared" si="227"/>
        <v>0</v>
      </c>
      <c r="DE188" s="131">
        <f t="shared" si="228"/>
        <v>0</v>
      </c>
      <c r="DF188" s="131">
        <f t="shared" si="229"/>
        <v>0</v>
      </c>
      <c r="DG188" s="131">
        <f t="shared" si="230"/>
        <v>0</v>
      </c>
      <c r="DH188" s="131"/>
      <c r="DI188" s="131"/>
      <c r="DJ188" s="131"/>
      <c r="DK188" s="137">
        <f t="shared" si="260"/>
        <v>4620.5129979953599</v>
      </c>
      <c r="DL188" s="227" t="e">
        <f t="shared" si="231"/>
        <v>#REF!</v>
      </c>
      <c r="DM188" s="227" t="e">
        <f t="shared" si="232"/>
        <v>#REF!</v>
      </c>
      <c r="DN188" s="228" t="e">
        <f t="shared" si="186"/>
        <v>#REF!</v>
      </c>
      <c r="DO188" s="228">
        <f t="shared" si="233"/>
        <v>194.35242757490622</v>
      </c>
      <c r="DP188" s="228" t="e">
        <f t="shared" si="234"/>
        <v>#REF!</v>
      </c>
      <c r="DQ188" s="228" t="e">
        <f t="shared" si="235"/>
        <v>#REF!</v>
      </c>
    </row>
    <row r="189" spans="1:121">
      <c r="A189" s="132">
        <f t="shared" si="265"/>
        <v>179</v>
      </c>
      <c r="B189" s="18">
        <f t="shared" si="236"/>
        <v>179</v>
      </c>
      <c r="C189" s="18">
        <f>IF(A189=0," ",VLOOKUP(B189,'tosafot '!$A$7:$B$234,2,0))</f>
        <v>11.202199999999999</v>
      </c>
      <c r="D189" s="220">
        <f t="shared" si="237"/>
        <v>228</v>
      </c>
      <c r="E189" s="130">
        <f t="shared" si="238"/>
        <v>12.2026</v>
      </c>
      <c r="F189" s="126">
        <f t="shared" si="239"/>
        <v>22</v>
      </c>
      <c r="G189" s="18" t="str">
        <f t="shared" si="240"/>
        <v>התחבורה</v>
      </c>
      <c r="H189" s="189">
        <f t="shared" si="241"/>
        <v>122</v>
      </c>
      <c r="I189" s="18">
        <f t="shared" si="242"/>
        <v>1</v>
      </c>
      <c r="J189" s="18" t="str">
        <f t="shared" si="243"/>
        <v>מינהלי - עובדי מדינה</v>
      </c>
      <c r="K189" s="189">
        <f t="shared" si="244"/>
        <v>1</v>
      </c>
      <c r="L189" s="18">
        <f t="shared" si="245"/>
        <v>12</v>
      </c>
      <c r="M189" s="129" t="str">
        <f t="shared" si="246"/>
        <v>17+</v>
      </c>
      <c r="N189" s="189"/>
      <c r="O189" s="132">
        <f t="shared" si="247"/>
        <v>1012</v>
      </c>
      <c r="P189" s="127">
        <f t="shared" si="248"/>
        <v>37</v>
      </c>
      <c r="Q189" s="127">
        <f t="shared" si="249"/>
        <v>36.75</v>
      </c>
      <c r="R189" s="128">
        <f t="shared" si="250"/>
        <v>148</v>
      </c>
      <c r="S189" s="130">
        <f t="shared" si="251"/>
        <v>1.4414995494685181</v>
      </c>
      <c r="T189" s="135">
        <f t="shared" si="188"/>
        <v>0</v>
      </c>
      <c r="U189" s="127">
        <f t="shared" si="189"/>
        <v>0</v>
      </c>
      <c r="V189" s="217">
        <v>0</v>
      </c>
      <c r="W189" s="191">
        <v>0</v>
      </c>
      <c r="X189" s="133">
        <v>0</v>
      </c>
      <c r="Y189" s="131">
        <f t="shared" si="190"/>
        <v>2438.5</v>
      </c>
      <c r="Z189" s="131">
        <f t="shared" si="191"/>
        <v>1076.5966513789815</v>
      </c>
      <c r="AA189" s="242">
        <f t="shared" si="192"/>
        <v>3515.0966513789817</v>
      </c>
      <c r="AB189" s="131">
        <f t="shared" si="193"/>
        <v>0</v>
      </c>
      <c r="AC189" s="131">
        <f t="shared" si="194"/>
        <v>140.60386605515927</v>
      </c>
      <c r="AD189" s="131">
        <f t="shared" si="195"/>
        <v>0</v>
      </c>
      <c r="AE189" s="131">
        <f t="shared" si="196"/>
        <v>0</v>
      </c>
      <c r="AF189" s="131">
        <f t="shared" si="197"/>
        <v>0</v>
      </c>
      <c r="AG189" s="131">
        <f t="shared" si="198"/>
        <v>0</v>
      </c>
      <c r="AH189" s="131">
        <f t="shared" si="199"/>
        <v>0</v>
      </c>
      <c r="AI189" s="131">
        <f t="shared" si="200"/>
        <v>0</v>
      </c>
      <c r="AJ189" s="131">
        <f t="shared" si="201"/>
        <v>0</v>
      </c>
      <c r="AK189" s="131"/>
      <c r="AL189" s="131">
        <f t="shared" si="202"/>
        <v>0</v>
      </c>
      <c r="AM189" s="131"/>
      <c r="AN189" s="243">
        <f t="shared" si="203"/>
        <v>0</v>
      </c>
      <c r="AO189" s="131">
        <f t="shared" si="204"/>
        <v>0</v>
      </c>
      <c r="AP189" s="131">
        <f t="shared" si="205"/>
        <v>0</v>
      </c>
      <c r="AQ189" s="131"/>
      <c r="AR189" s="131">
        <f t="shared" si="206"/>
        <v>0</v>
      </c>
      <c r="AS189" s="131">
        <f t="shared" si="252"/>
        <v>0</v>
      </c>
      <c r="AT189" s="131">
        <f t="shared" si="207"/>
        <v>0</v>
      </c>
      <c r="AU189" s="131">
        <f t="shared" si="208"/>
        <v>0</v>
      </c>
      <c r="AV189" s="131"/>
      <c r="AW189" s="131">
        <f t="shared" si="209"/>
        <v>0</v>
      </c>
      <c r="AX189" s="131">
        <f t="shared" si="263"/>
        <v>0</v>
      </c>
      <c r="AY189" s="131">
        <f t="shared" si="210"/>
        <v>0</v>
      </c>
      <c r="AZ189" s="131"/>
      <c r="BA189" s="131">
        <f t="shared" si="264"/>
        <v>0</v>
      </c>
      <c r="BB189" s="131"/>
      <c r="BC189" s="131"/>
      <c r="BD189" s="131">
        <f t="shared" si="211"/>
        <v>0</v>
      </c>
      <c r="BE189" s="131"/>
      <c r="BF189" s="131">
        <f t="shared" si="253"/>
        <v>0</v>
      </c>
      <c r="BG189" s="131">
        <f t="shared" si="254"/>
        <v>0</v>
      </c>
      <c r="BH189" s="131"/>
      <c r="BI189" s="131"/>
      <c r="BJ189" s="131"/>
      <c r="BK189" s="131">
        <f t="shared" si="255"/>
        <v>0</v>
      </c>
      <c r="BL189" s="131"/>
      <c r="BM189" s="131"/>
      <c r="BN189" s="131">
        <f t="shared" si="256"/>
        <v>0</v>
      </c>
      <c r="BO189" s="131"/>
      <c r="BP189" s="131">
        <f t="shared" si="257"/>
        <v>0</v>
      </c>
      <c r="BQ189" s="131"/>
      <c r="BR189" s="131"/>
      <c r="BS189" s="131"/>
      <c r="BT189" s="131"/>
      <c r="BU189" s="131"/>
      <c r="BV189" s="131">
        <f t="shared" si="258"/>
        <v>0</v>
      </c>
      <c r="BW189" s="131"/>
      <c r="BX189" s="131"/>
      <c r="BY189" s="131"/>
      <c r="BZ189" s="131">
        <f t="shared" si="259"/>
        <v>0</v>
      </c>
      <c r="CA189" s="131"/>
      <c r="CB189" s="136">
        <f t="shared" si="212"/>
        <v>160.55836672570746</v>
      </c>
      <c r="CC189" s="131">
        <f t="shared" si="213"/>
        <v>0</v>
      </c>
      <c r="CD189" s="136">
        <f t="shared" si="214"/>
        <v>0</v>
      </c>
      <c r="CE189" s="131">
        <f t="shared" si="262"/>
        <v>0</v>
      </c>
      <c r="CF189" s="136">
        <f t="shared" si="215"/>
        <v>0</v>
      </c>
      <c r="CG189" s="136"/>
      <c r="CH189" s="136">
        <f t="shared" si="261"/>
        <v>0</v>
      </c>
      <c r="CI189" s="131">
        <f t="shared" si="216"/>
        <v>0</v>
      </c>
      <c r="CJ189" s="131"/>
      <c r="CK189" s="136">
        <f t="shared" si="217"/>
        <v>0</v>
      </c>
      <c r="CL189" s="136">
        <f t="shared" si="218"/>
        <v>804.25411383551102</v>
      </c>
      <c r="CM189" s="131">
        <f t="shared" si="219"/>
        <v>0</v>
      </c>
      <c r="CN189" s="136">
        <f t="shared" si="220"/>
        <v>0</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f t="shared" si="226"/>
        <v>0</v>
      </c>
      <c r="DC189" s="131">
        <f t="shared" si="185"/>
        <v>0</v>
      </c>
      <c r="DD189" s="131">
        <f t="shared" si="227"/>
        <v>0</v>
      </c>
      <c r="DE189" s="131">
        <f t="shared" si="228"/>
        <v>0</v>
      </c>
      <c r="DF189" s="131">
        <f t="shared" si="229"/>
        <v>0</v>
      </c>
      <c r="DG189" s="131">
        <f t="shared" si="230"/>
        <v>0</v>
      </c>
      <c r="DH189" s="131"/>
      <c r="DI189" s="131"/>
      <c r="DJ189" s="131"/>
      <c r="DK189" s="137">
        <f t="shared" si="260"/>
        <v>4620.5129979953599</v>
      </c>
      <c r="DL189" s="227" t="e">
        <f t="shared" si="231"/>
        <v>#REF!</v>
      </c>
      <c r="DM189" s="227" t="e">
        <f t="shared" si="232"/>
        <v>#REF!</v>
      </c>
      <c r="DN189" s="228" t="e">
        <f t="shared" si="186"/>
        <v>#REF!</v>
      </c>
      <c r="DO189" s="228">
        <f t="shared" si="233"/>
        <v>194.35242757490622</v>
      </c>
      <c r="DP189" s="228" t="e">
        <f t="shared" si="234"/>
        <v>#REF!</v>
      </c>
      <c r="DQ189" s="228" t="e">
        <f t="shared" si="235"/>
        <v>#REF!</v>
      </c>
    </row>
    <row r="190" spans="1:121">
      <c r="A190" s="132">
        <f t="shared" si="265"/>
        <v>180</v>
      </c>
      <c r="B190" s="18">
        <f t="shared" si="236"/>
        <v>180</v>
      </c>
      <c r="C190" s="18">
        <f>IF(A190=0," ",VLOOKUP(B190,'tosafot '!$A$7:$B$234,2,0))</f>
        <v>12.202199999999999</v>
      </c>
      <c r="D190" s="220">
        <f t="shared" si="237"/>
        <v>228</v>
      </c>
      <c r="E190" s="130">
        <f t="shared" si="238"/>
        <v>12.2026</v>
      </c>
      <c r="F190" s="126">
        <f t="shared" si="239"/>
        <v>22</v>
      </c>
      <c r="G190" s="18" t="str">
        <f t="shared" si="240"/>
        <v>התחבורה</v>
      </c>
      <c r="H190" s="189">
        <f t="shared" si="241"/>
        <v>122</v>
      </c>
      <c r="I190" s="18">
        <f t="shared" si="242"/>
        <v>1</v>
      </c>
      <c r="J190" s="18" t="str">
        <f t="shared" si="243"/>
        <v>מינהלי - עובדי מדינה</v>
      </c>
      <c r="K190" s="189">
        <f t="shared" si="244"/>
        <v>1</v>
      </c>
      <c r="L190" s="18">
        <f t="shared" si="245"/>
        <v>12</v>
      </c>
      <c r="M190" s="129" t="str">
        <f t="shared" si="246"/>
        <v>17+</v>
      </c>
      <c r="N190" s="189"/>
      <c r="O190" s="132">
        <f t="shared" si="247"/>
        <v>1012</v>
      </c>
      <c r="P190" s="127">
        <f t="shared" si="248"/>
        <v>37</v>
      </c>
      <c r="Q190" s="127">
        <f t="shared" si="249"/>
        <v>36.75</v>
      </c>
      <c r="R190" s="128">
        <f t="shared" si="250"/>
        <v>148</v>
      </c>
      <c r="S190" s="130">
        <f t="shared" si="251"/>
        <v>1.4414995494685181</v>
      </c>
      <c r="T190" s="135">
        <f t="shared" si="188"/>
        <v>0</v>
      </c>
      <c r="U190" s="127">
        <f t="shared" si="189"/>
        <v>0</v>
      </c>
      <c r="V190" s="217">
        <v>0</v>
      </c>
      <c r="W190" s="191">
        <v>0</v>
      </c>
      <c r="X190" s="133">
        <v>0</v>
      </c>
      <c r="Y190" s="131">
        <f t="shared" si="190"/>
        <v>2438.5</v>
      </c>
      <c r="Z190" s="131">
        <f t="shared" si="191"/>
        <v>1076.5966513789815</v>
      </c>
      <c r="AA190" s="242">
        <f t="shared" si="192"/>
        <v>3515.0966513789817</v>
      </c>
      <c r="AB190" s="131">
        <f t="shared" si="193"/>
        <v>0</v>
      </c>
      <c r="AC190" s="131">
        <f t="shared" si="194"/>
        <v>140.60386605515927</v>
      </c>
      <c r="AD190" s="131">
        <f t="shared" si="195"/>
        <v>0</v>
      </c>
      <c r="AE190" s="131">
        <f t="shared" si="196"/>
        <v>0</v>
      </c>
      <c r="AF190" s="131">
        <f t="shared" si="197"/>
        <v>0</v>
      </c>
      <c r="AG190" s="131">
        <f t="shared" si="198"/>
        <v>0</v>
      </c>
      <c r="AH190" s="131">
        <f t="shared" si="199"/>
        <v>0</v>
      </c>
      <c r="AI190" s="131">
        <f t="shared" si="200"/>
        <v>0</v>
      </c>
      <c r="AJ190" s="131">
        <f t="shared" si="201"/>
        <v>0</v>
      </c>
      <c r="AK190" s="131"/>
      <c r="AL190" s="131">
        <f t="shared" si="202"/>
        <v>0</v>
      </c>
      <c r="AM190" s="131"/>
      <c r="AN190" s="243">
        <f t="shared" si="203"/>
        <v>0</v>
      </c>
      <c r="AO190" s="131">
        <f t="shared" si="204"/>
        <v>0</v>
      </c>
      <c r="AP190" s="131">
        <f t="shared" si="205"/>
        <v>0</v>
      </c>
      <c r="AQ190" s="131"/>
      <c r="AR190" s="131">
        <f t="shared" si="206"/>
        <v>0</v>
      </c>
      <c r="AS190" s="131">
        <f t="shared" si="252"/>
        <v>0</v>
      </c>
      <c r="AT190" s="131">
        <f t="shared" si="207"/>
        <v>0</v>
      </c>
      <c r="AU190" s="131">
        <f t="shared" si="208"/>
        <v>0</v>
      </c>
      <c r="AV190" s="131"/>
      <c r="AW190" s="131">
        <f t="shared" si="209"/>
        <v>0</v>
      </c>
      <c r="AX190" s="131">
        <f t="shared" si="263"/>
        <v>0</v>
      </c>
      <c r="AY190" s="131">
        <f t="shared" si="210"/>
        <v>0</v>
      </c>
      <c r="AZ190" s="131"/>
      <c r="BA190" s="131">
        <f t="shared" si="264"/>
        <v>0</v>
      </c>
      <c r="BB190" s="131"/>
      <c r="BC190" s="131"/>
      <c r="BD190" s="131">
        <f t="shared" si="211"/>
        <v>0</v>
      </c>
      <c r="BE190" s="131"/>
      <c r="BF190" s="131">
        <f t="shared" si="253"/>
        <v>0</v>
      </c>
      <c r="BG190" s="131">
        <f t="shared" si="254"/>
        <v>0</v>
      </c>
      <c r="BH190" s="131"/>
      <c r="BI190" s="131"/>
      <c r="BJ190" s="131"/>
      <c r="BK190" s="131">
        <f t="shared" si="255"/>
        <v>0</v>
      </c>
      <c r="BL190" s="131"/>
      <c r="BM190" s="131"/>
      <c r="BN190" s="131">
        <f t="shared" si="256"/>
        <v>0</v>
      </c>
      <c r="BO190" s="131"/>
      <c r="BP190" s="131">
        <f t="shared" si="257"/>
        <v>0</v>
      </c>
      <c r="BQ190" s="131"/>
      <c r="BR190" s="131"/>
      <c r="BS190" s="131"/>
      <c r="BT190" s="131"/>
      <c r="BU190" s="131"/>
      <c r="BV190" s="131">
        <f t="shared" si="258"/>
        <v>0</v>
      </c>
      <c r="BW190" s="131"/>
      <c r="BX190" s="131"/>
      <c r="BY190" s="131"/>
      <c r="BZ190" s="131">
        <f t="shared" si="259"/>
        <v>0</v>
      </c>
      <c r="CA190" s="131"/>
      <c r="CB190" s="136">
        <f t="shared" si="212"/>
        <v>160.55836672570746</v>
      </c>
      <c r="CC190" s="131">
        <f t="shared" si="213"/>
        <v>0</v>
      </c>
      <c r="CD190" s="136">
        <f t="shared" si="214"/>
        <v>0</v>
      </c>
      <c r="CE190" s="131">
        <f t="shared" si="262"/>
        <v>0</v>
      </c>
      <c r="CF190" s="136">
        <f t="shared" si="215"/>
        <v>0</v>
      </c>
      <c r="CG190" s="136"/>
      <c r="CH190" s="136">
        <f t="shared" si="261"/>
        <v>0</v>
      </c>
      <c r="CI190" s="131">
        <f t="shared" si="216"/>
        <v>0</v>
      </c>
      <c r="CJ190" s="131"/>
      <c r="CK190" s="136">
        <f t="shared" si="217"/>
        <v>0</v>
      </c>
      <c r="CL190" s="136">
        <f t="shared" si="218"/>
        <v>804.25411383551102</v>
      </c>
      <c r="CM190" s="131">
        <f t="shared" si="219"/>
        <v>0</v>
      </c>
      <c r="CN190" s="136">
        <f t="shared" si="220"/>
        <v>0</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f t="shared" si="226"/>
        <v>0</v>
      </c>
      <c r="DC190" s="131">
        <f t="shared" si="185"/>
        <v>0</v>
      </c>
      <c r="DD190" s="131">
        <f t="shared" si="227"/>
        <v>0</v>
      </c>
      <c r="DE190" s="131">
        <f t="shared" si="228"/>
        <v>0</v>
      </c>
      <c r="DF190" s="131">
        <f t="shared" si="229"/>
        <v>0</v>
      </c>
      <c r="DG190" s="131">
        <f t="shared" si="230"/>
        <v>0</v>
      </c>
      <c r="DH190" s="131"/>
      <c r="DI190" s="131"/>
      <c r="DJ190" s="131"/>
      <c r="DK190" s="137">
        <f t="shared" si="260"/>
        <v>4620.5129979953599</v>
      </c>
      <c r="DL190" s="227" t="e">
        <f t="shared" si="231"/>
        <v>#REF!</v>
      </c>
      <c r="DM190" s="227" t="e">
        <f t="shared" si="232"/>
        <v>#REF!</v>
      </c>
      <c r="DN190" s="228" t="e">
        <f t="shared" si="186"/>
        <v>#REF!</v>
      </c>
      <c r="DO190" s="228">
        <f t="shared" si="233"/>
        <v>194.35242757490622</v>
      </c>
      <c r="DP190" s="228" t="e">
        <f t="shared" si="234"/>
        <v>#REF!</v>
      </c>
      <c r="DQ190" s="228" t="e">
        <f t="shared" si="235"/>
        <v>#REF!</v>
      </c>
    </row>
    <row r="191" spans="1:121">
      <c r="A191" s="132">
        <f t="shared" si="265"/>
        <v>181</v>
      </c>
      <c r="B191" s="18">
        <f t="shared" si="236"/>
        <v>181</v>
      </c>
      <c r="C191" s="18">
        <f>IF(A191=0," ",VLOOKUP(B191,'tosafot '!$A$7:$B$234,2,0))</f>
        <v>1.2022999999999999</v>
      </c>
      <c r="D191" s="220">
        <f t="shared" si="237"/>
        <v>228</v>
      </c>
      <c r="E191" s="130">
        <f t="shared" si="238"/>
        <v>12.2026</v>
      </c>
      <c r="F191" s="126">
        <f t="shared" si="239"/>
        <v>22</v>
      </c>
      <c r="G191" s="18" t="str">
        <f t="shared" si="240"/>
        <v>התחבורה</v>
      </c>
      <c r="H191" s="189">
        <f t="shared" si="241"/>
        <v>122</v>
      </c>
      <c r="I191" s="18">
        <f t="shared" si="242"/>
        <v>1</v>
      </c>
      <c r="J191" s="18" t="str">
        <f t="shared" si="243"/>
        <v>מינהלי - עובדי מדינה</v>
      </c>
      <c r="K191" s="189">
        <f t="shared" si="244"/>
        <v>1</v>
      </c>
      <c r="L191" s="18">
        <f t="shared" si="245"/>
        <v>12</v>
      </c>
      <c r="M191" s="129" t="str">
        <f t="shared" si="246"/>
        <v>17+</v>
      </c>
      <c r="N191" s="189"/>
      <c r="O191" s="132">
        <f t="shared" si="247"/>
        <v>1012</v>
      </c>
      <c r="P191" s="127">
        <f t="shared" si="248"/>
        <v>37</v>
      </c>
      <c r="Q191" s="127">
        <f t="shared" si="249"/>
        <v>36.75</v>
      </c>
      <c r="R191" s="128">
        <f t="shared" si="250"/>
        <v>148</v>
      </c>
      <c r="S191" s="130">
        <f t="shared" si="251"/>
        <v>1.4414995494685181</v>
      </c>
      <c r="T191" s="135">
        <f t="shared" si="188"/>
        <v>0</v>
      </c>
      <c r="U191" s="127">
        <f t="shared" si="189"/>
        <v>0</v>
      </c>
      <c r="V191" s="217">
        <v>0</v>
      </c>
      <c r="W191" s="191">
        <v>0</v>
      </c>
      <c r="X191" s="133">
        <v>0</v>
      </c>
      <c r="Y191" s="131">
        <f t="shared" si="190"/>
        <v>2438.5</v>
      </c>
      <c r="Z191" s="131">
        <f t="shared" si="191"/>
        <v>1076.5966513789815</v>
      </c>
      <c r="AA191" s="242">
        <f t="shared" si="192"/>
        <v>3515.0966513789817</v>
      </c>
      <c r="AB191" s="131">
        <f t="shared" si="193"/>
        <v>0</v>
      </c>
      <c r="AC191" s="131">
        <f t="shared" si="194"/>
        <v>140.60386605515927</v>
      </c>
      <c r="AD191" s="131">
        <f t="shared" si="195"/>
        <v>0</v>
      </c>
      <c r="AE191" s="131">
        <f t="shared" si="196"/>
        <v>0</v>
      </c>
      <c r="AF191" s="131">
        <f t="shared" si="197"/>
        <v>0</v>
      </c>
      <c r="AG191" s="131">
        <f t="shared" si="198"/>
        <v>0</v>
      </c>
      <c r="AH191" s="131">
        <f t="shared" si="199"/>
        <v>0</v>
      </c>
      <c r="AI191" s="131">
        <f t="shared" si="200"/>
        <v>0</v>
      </c>
      <c r="AJ191" s="131">
        <f t="shared" si="201"/>
        <v>0</v>
      </c>
      <c r="AK191" s="131"/>
      <c r="AL191" s="131">
        <f t="shared" si="202"/>
        <v>0</v>
      </c>
      <c r="AM191" s="131"/>
      <c r="AN191" s="243">
        <f t="shared" si="203"/>
        <v>0</v>
      </c>
      <c r="AO191" s="131">
        <f t="shared" si="204"/>
        <v>0</v>
      </c>
      <c r="AP191" s="131">
        <f t="shared" si="205"/>
        <v>0</v>
      </c>
      <c r="AQ191" s="131"/>
      <c r="AR191" s="131">
        <f t="shared" si="206"/>
        <v>0</v>
      </c>
      <c r="AS191" s="131">
        <f t="shared" si="252"/>
        <v>0</v>
      </c>
      <c r="AT191" s="131">
        <f t="shared" si="207"/>
        <v>0</v>
      </c>
      <c r="AU191" s="131">
        <f t="shared" si="208"/>
        <v>0</v>
      </c>
      <c r="AV191" s="131"/>
      <c r="AW191" s="131">
        <f t="shared" si="209"/>
        <v>0</v>
      </c>
      <c r="AX191" s="131">
        <f t="shared" si="263"/>
        <v>0</v>
      </c>
      <c r="AY191" s="131">
        <f t="shared" si="210"/>
        <v>0</v>
      </c>
      <c r="AZ191" s="131"/>
      <c r="BA191" s="131">
        <f t="shared" si="264"/>
        <v>0</v>
      </c>
      <c r="BB191" s="131"/>
      <c r="BC191" s="131"/>
      <c r="BD191" s="131">
        <f t="shared" si="211"/>
        <v>0</v>
      </c>
      <c r="BE191" s="131"/>
      <c r="BF191" s="131">
        <f t="shared" si="253"/>
        <v>0</v>
      </c>
      <c r="BG191" s="131">
        <f t="shared" si="254"/>
        <v>0</v>
      </c>
      <c r="BH191" s="131"/>
      <c r="BI191" s="131"/>
      <c r="BJ191" s="131"/>
      <c r="BK191" s="131">
        <f t="shared" si="255"/>
        <v>0</v>
      </c>
      <c r="BL191" s="131"/>
      <c r="BM191" s="131"/>
      <c r="BN191" s="131">
        <f t="shared" si="256"/>
        <v>0</v>
      </c>
      <c r="BO191" s="131"/>
      <c r="BP191" s="131">
        <f t="shared" si="257"/>
        <v>0</v>
      </c>
      <c r="BQ191" s="131"/>
      <c r="BR191" s="131"/>
      <c r="BS191" s="131"/>
      <c r="BT191" s="131"/>
      <c r="BU191" s="131"/>
      <c r="BV191" s="131">
        <f t="shared" si="258"/>
        <v>0</v>
      </c>
      <c r="BW191" s="131"/>
      <c r="BX191" s="131"/>
      <c r="BY191" s="131"/>
      <c r="BZ191" s="131">
        <f t="shared" si="259"/>
        <v>0</v>
      </c>
      <c r="CA191" s="131"/>
      <c r="CB191" s="136">
        <f t="shared" si="212"/>
        <v>160.55836672570746</v>
      </c>
      <c r="CC191" s="131">
        <f t="shared" si="213"/>
        <v>0</v>
      </c>
      <c r="CD191" s="136">
        <f t="shared" si="214"/>
        <v>0</v>
      </c>
      <c r="CE191" s="131">
        <f t="shared" si="262"/>
        <v>0</v>
      </c>
      <c r="CF191" s="136">
        <f t="shared" si="215"/>
        <v>0</v>
      </c>
      <c r="CG191" s="136"/>
      <c r="CH191" s="136">
        <f t="shared" si="261"/>
        <v>0</v>
      </c>
      <c r="CI191" s="131">
        <f t="shared" si="216"/>
        <v>0</v>
      </c>
      <c r="CJ191" s="131"/>
      <c r="CK191" s="136">
        <f t="shared" si="217"/>
        <v>0</v>
      </c>
      <c r="CL191" s="136">
        <f t="shared" si="218"/>
        <v>804.25411383551102</v>
      </c>
      <c r="CM191" s="131">
        <f t="shared" si="219"/>
        <v>0</v>
      </c>
      <c r="CN191" s="136">
        <f t="shared" si="220"/>
        <v>0</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f t="shared" si="226"/>
        <v>0</v>
      </c>
      <c r="DC191" s="131">
        <f t="shared" si="185"/>
        <v>0</v>
      </c>
      <c r="DD191" s="131">
        <f t="shared" si="227"/>
        <v>0</v>
      </c>
      <c r="DE191" s="131">
        <f t="shared" si="228"/>
        <v>0</v>
      </c>
      <c r="DF191" s="131">
        <f t="shared" si="229"/>
        <v>0</v>
      </c>
      <c r="DG191" s="131">
        <f t="shared" si="230"/>
        <v>0</v>
      </c>
      <c r="DH191" s="131"/>
      <c r="DI191" s="131"/>
      <c r="DJ191" s="131"/>
      <c r="DK191" s="137">
        <f t="shared" si="260"/>
        <v>4620.5129979953599</v>
      </c>
      <c r="DL191" s="227" t="e">
        <f t="shared" si="231"/>
        <v>#REF!</v>
      </c>
      <c r="DM191" s="227" t="e">
        <f t="shared" si="232"/>
        <v>#REF!</v>
      </c>
      <c r="DN191" s="228" t="e">
        <f t="shared" si="186"/>
        <v>#REF!</v>
      </c>
      <c r="DO191" s="228">
        <f t="shared" si="233"/>
        <v>194.35242757490622</v>
      </c>
      <c r="DP191" s="228" t="e">
        <f t="shared" si="234"/>
        <v>#REF!</v>
      </c>
      <c r="DQ191" s="228" t="e">
        <f t="shared" si="235"/>
        <v>#REF!</v>
      </c>
    </row>
    <row r="192" spans="1:121">
      <c r="A192" s="132">
        <f t="shared" si="265"/>
        <v>182</v>
      </c>
      <c r="B192" s="18">
        <f t="shared" si="236"/>
        <v>182</v>
      </c>
      <c r="C192" s="18">
        <f>IF(A192=0," ",VLOOKUP(B192,'tosafot '!$A$7:$B$234,2,0))</f>
        <v>2.2023000000000001</v>
      </c>
      <c r="D192" s="220">
        <f t="shared" si="237"/>
        <v>228</v>
      </c>
      <c r="E192" s="130">
        <f t="shared" si="238"/>
        <v>12.2026</v>
      </c>
      <c r="F192" s="126">
        <f t="shared" si="239"/>
        <v>22</v>
      </c>
      <c r="G192" s="18" t="str">
        <f t="shared" si="240"/>
        <v>התחבורה</v>
      </c>
      <c r="H192" s="189">
        <f t="shared" si="241"/>
        <v>122</v>
      </c>
      <c r="I192" s="18">
        <f t="shared" si="242"/>
        <v>1</v>
      </c>
      <c r="J192" s="18" t="str">
        <f t="shared" si="243"/>
        <v>מינהלי - עובדי מדינה</v>
      </c>
      <c r="K192" s="189">
        <f t="shared" si="244"/>
        <v>1</v>
      </c>
      <c r="L192" s="18">
        <f t="shared" si="245"/>
        <v>12</v>
      </c>
      <c r="M192" s="129" t="str">
        <f t="shared" si="246"/>
        <v>17+</v>
      </c>
      <c r="N192" s="189"/>
      <c r="O192" s="132">
        <f t="shared" si="247"/>
        <v>1012</v>
      </c>
      <c r="P192" s="127">
        <f t="shared" si="248"/>
        <v>37</v>
      </c>
      <c r="Q192" s="127">
        <f t="shared" si="249"/>
        <v>36.75</v>
      </c>
      <c r="R192" s="128">
        <f t="shared" si="250"/>
        <v>148</v>
      </c>
      <c r="S192" s="130">
        <f t="shared" si="251"/>
        <v>1.4414995494685181</v>
      </c>
      <c r="T192" s="135">
        <f t="shared" si="188"/>
        <v>0</v>
      </c>
      <c r="U192" s="127">
        <f t="shared" si="189"/>
        <v>0</v>
      </c>
      <c r="V192" s="217">
        <v>0</v>
      </c>
      <c r="W192" s="191">
        <v>0</v>
      </c>
      <c r="X192" s="133">
        <v>0</v>
      </c>
      <c r="Y192" s="131">
        <f t="shared" si="190"/>
        <v>2438.5</v>
      </c>
      <c r="Z192" s="131">
        <f t="shared" si="191"/>
        <v>1076.5966513789815</v>
      </c>
      <c r="AA192" s="242">
        <f t="shared" si="192"/>
        <v>3515.0966513789817</v>
      </c>
      <c r="AB192" s="131">
        <f t="shared" si="193"/>
        <v>0</v>
      </c>
      <c r="AC192" s="131">
        <f t="shared" si="194"/>
        <v>140.60386605515927</v>
      </c>
      <c r="AD192" s="131">
        <f t="shared" si="195"/>
        <v>0</v>
      </c>
      <c r="AE192" s="131">
        <f t="shared" si="196"/>
        <v>0</v>
      </c>
      <c r="AF192" s="131">
        <f t="shared" si="197"/>
        <v>0</v>
      </c>
      <c r="AG192" s="131">
        <f t="shared" si="198"/>
        <v>0</v>
      </c>
      <c r="AH192" s="131">
        <f t="shared" si="199"/>
        <v>0</v>
      </c>
      <c r="AI192" s="131">
        <f t="shared" si="200"/>
        <v>0</v>
      </c>
      <c r="AJ192" s="131">
        <f t="shared" si="201"/>
        <v>0</v>
      </c>
      <c r="AK192" s="131"/>
      <c r="AL192" s="131">
        <f t="shared" si="202"/>
        <v>0</v>
      </c>
      <c r="AM192" s="131"/>
      <c r="AN192" s="243">
        <f t="shared" si="203"/>
        <v>0</v>
      </c>
      <c r="AO192" s="131">
        <f t="shared" si="204"/>
        <v>0</v>
      </c>
      <c r="AP192" s="131">
        <f t="shared" si="205"/>
        <v>0</v>
      </c>
      <c r="AQ192" s="131"/>
      <c r="AR192" s="131">
        <f t="shared" si="206"/>
        <v>0</v>
      </c>
      <c r="AS192" s="131">
        <f t="shared" si="252"/>
        <v>0</v>
      </c>
      <c r="AT192" s="131">
        <f t="shared" si="207"/>
        <v>0</v>
      </c>
      <c r="AU192" s="131">
        <f t="shared" si="208"/>
        <v>0</v>
      </c>
      <c r="AV192" s="131"/>
      <c r="AW192" s="131">
        <f t="shared" si="209"/>
        <v>0</v>
      </c>
      <c r="AX192" s="131">
        <f t="shared" si="263"/>
        <v>0</v>
      </c>
      <c r="AY192" s="131">
        <f t="shared" si="210"/>
        <v>0</v>
      </c>
      <c r="AZ192" s="131"/>
      <c r="BA192" s="131">
        <f t="shared" si="264"/>
        <v>0</v>
      </c>
      <c r="BB192" s="131"/>
      <c r="BC192" s="131"/>
      <c r="BD192" s="131">
        <f t="shared" si="211"/>
        <v>0</v>
      </c>
      <c r="BE192" s="131"/>
      <c r="BF192" s="131">
        <f t="shared" si="253"/>
        <v>0</v>
      </c>
      <c r="BG192" s="131">
        <f t="shared" si="254"/>
        <v>0</v>
      </c>
      <c r="BH192" s="131"/>
      <c r="BI192" s="131"/>
      <c r="BJ192" s="131"/>
      <c r="BK192" s="131">
        <f t="shared" si="255"/>
        <v>0</v>
      </c>
      <c r="BL192" s="131"/>
      <c r="BM192" s="131"/>
      <c r="BN192" s="131">
        <f t="shared" si="256"/>
        <v>0</v>
      </c>
      <c r="BO192" s="131"/>
      <c r="BP192" s="131">
        <f t="shared" si="257"/>
        <v>0</v>
      </c>
      <c r="BQ192" s="131"/>
      <c r="BR192" s="131"/>
      <c r="BS192" s="131"/>
      <c r="BT192" s="131"/>
      <c r="BU192" s="131"/>
      <c r="BV192" s="131">
        <f t="shared" si="258"/>
        <v>0</v>
      </c>
      <c r="BW192" s="131"/>
      <c r="BX192" s="131"/>
      <c r="BY192" s="131"/>
      <c r="BZ192" s="131">
        <f t="shared" si="259"/>
        <v>0</v>
      </c>
      <c r="CA192" s="131"/>
      <c r="CB192" s="136">
        <f t="shared" si="212"/>
        <v>160.55836672570746</v>
      </c>
      <c r="CC192" s="131">
        <f t="shared" si="213"/>
        <v>0</v>
      </c>
      <c r="CD192" s="136">
        <f t="shared" si="214"/>
        <v>0</v>
      </c>
      <c r="CE192" s="131">
        <f t="shared" si="262"/>
        <v>0</v>
      </c>
      <c r="CF192" s="136">
        <f t="shared" si="215"/>
        <v>0</v>
      </c>
      <c r="CG192" s="136"/>
      <c r="CH192" s="136">
        <f t="shared" si="261"/>
        <v>0</v>
      </c>
      <c r="CI192" s="131">
        <f t="shared" si="216"/>
        <v>0</v>
      </c>
      <c r="CJ192" s="131"/>
      <c r="CK192" s="136">
        <f t="shared" si="217"/>
        <v>0</v>
      </c>
      <c r="CL192" s="136">
        <f t="shared" si="218"/>
        <v>804.25411383551102</v>
      </c>
      <c r="CM192" s="131">
        <f t="shared" si="219"/>
        <v>0</v>
      </c>
      <c r="CN192" s="136">
        <f t="shared" si="220"/>
        <v>0</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f t="shared" si="226"/>
        <v>0</v>
      </c>
      <c r="DC192" s="131">
        <f t="shared" si="185"/>
        <v>0</v>
      </c>
      <c r="DD192" s="131">
        <f t="shared" si="227"/>
        <v>0</v>
      </c>
      <c r="DE192" s="131">
        <f t="shared" si="228"/>
        <v>0</v>
      </c>
      <c r="DF192" s="131">
        <f t="shared" si="229"/>
        <v>0</v>
      </c>
      <c r="DG192" s="131">
        <f t="shared" si="230"/>
        <v>0</v>
      </c>
      <c r="DH192" s="131"/>
      <c r="DI192" s="131"/>
      <c r="DJ192" s="131"/>
      <c r="DK192" s="137">
        <f t="shared" si="260"/>
        <v>4620.5129979953599</v>
      </c>
      <c r="DL192" s="227" t="e">
        <f t="shared" si="231"/>
        <v>#REF!</v>
      </c>
      <c r="DM192" s="227" t="e">
        <f t="shared" si="232"/>
        <v>#REF!</v>
      </c>
      <c r="DN192" s="228" t="e">
        <f t="shared" si="186"/>
        <v>#REF!</v>
      </c>
      <c r="DO192" s="228">
        <f t="shared" si="233"/>
        <v>194.35242757490622</v>
      </c>
      <c r="DP192" s="228" t="e">
        <f t="shared" si="234"/>
        <v>#REF!</v>
      </c>
      <c r="DQ192" s="228" t="e">
        <f t="shared" si="235"/>
        <v>#REF!</v>
      </c>
    </row>
    <row r="193" spans="1:121">
      <c r="A193" s="132">
        <f t="shared" si="265"/>
        <v>183</v>
      </c>
      <c r="B193" s="18">
        <f t="shared" si="236"/>
        <v>183</v>
      </c>
      <c r="C193" s="18">
        <f>IF(A193=0," ",VLOOKUP(B193,'tosafot '!$A$7:$B$234,2,0))</f>
        <v>3.2023000000000001</v>
      </c>
      <c r="D193" s="220">
        <f t="shared" si="237"/>
        <v>228</v>
      </c>
      <c r="E193" s="130">
        <f t="shared" si="238"/>
        <v>12.2026</v>
      </c>
      <c r="F193" s="126">
        <f t="shared" si="239"/>
        <v>22</v>
      </c>
      <c r="G193" s="18" t="str">
        <f t="shared" si="240"/>
        <v>התחבורה</v>
      </c>
      <c r="H193" s="189">
        <f t="shared" si="241"/>
        <v>122</v>
      </c>
      <c r="I193" s="18">
        <f t="shared" si="242"/>
        <v>1</v>
      </c>
      <c r="J193" s="18" t="str">
        <f t="shared" si="243"/>
        <v>מינהלי - עובדי מדינה</v>
      </c>
      <c r="K193" s="189">
        <f t="shared" si="244"/>
        <v>1</v>
      </c>
      <c r="L193" s="18">
        <f t="shared" si="245"/>
        <v>12</v>
      </c>
      <c r="M193" s="129" t="str">
        <f t="shared" si="246"/>
        <v>17+</v>
      </c>
      <c r="N193" s="189"/>
      <c r="O193" s="132">
        <f t="shared" si="247"/>
        <v>1012</v>
      </c>
      <c r="P193" s="127">
        <f t="shared" si="248"/>
        <v>37</v>
      </c>
      <c r="Q193" s="127">
        <f t="shared" si="249"/>
        <v>36.75</v>
      </c>
      <c r="R193" s="128">
        <f t="shared" si="250"/>
        <v>148</v>
      </c>
      <c r="S193" s="130">
        <f t="shared" si="251"/>
        <v>1.4414995494685181</v>
      </c>
      <c r="T193" s="135">
        <f t="shared" si="188"/>
        <v>0</v>
      </c>
      <c r="U193" s="127">
        <f t="shared" si="189"/>
        <v>0</v>
      </c>
      <c r="V193" s="217">
        <v>0</v>
      </c>
      <c r="W193" s="191">
        <v>0</v>
      </c>
      <c r="X193" s="133">
        <v>0</v>
      </c>
      <c r="Y193" s="131">
        <f t="shared" si="190"/>
        <v>2438.5</v>
      </c>
      <c r="Z193" s="131">
        <f t="shared" si="191"/>
        <v>1076.5966513789815</v>
      </c>
      <c r="AA193" s="242">
        <f t="shared" si="192"/>
        <v>3515.0966513789817</v>
      </c>
      <c r="AB193" s="131">
        <f t="shared" si="193"/>
        <v>0</v>
      </c>
      <c r="AC193" s="131">
        <f t="shared" si="194"/>
        <v>140.60386605515927</v>
      </c>
      <c r="AD193" s="131">
        <f t="shared" si="195"/>
        <v>0</v>
      </c>
      <c r="AE193" s="131">
        <f t="shared" si="196"/>
        <v>0</v>
      </c>
      <c r="AF193" s="131">
        <f t="shared" si="197"/>
        <v>0</v>
      </c>
      <c r="AG193" s="131">
        <f t="shared" si="198"/>
        <v>0</v>
      </c>
      <c r="AH193" s="131">
        <f t="shared" si="199"/>
        <v>0</v>
      </c>
      <c r="AI193" s="131">
        <f t="shared" si="200"/>
        <v>0</v>
      </c>
      <c r="AJ193" s="131">
        <f t="shared" si="201"/>
        <v>0</v>
      </c>
      <c r="AK193" s="131"/>
      <c r="AL193" s="131">
        <f t="shared" si="202"/>
        <v>0</v>
      </c>
      <c r="AM193" s="131"/>
      <c r="AN193" s="243">
        <f t="shared" si="203"/>
        <v>0</v>
      </c>
      <c r="AO193" s="131">
        <f t="shared" si="204"/>
        <v>0</v>
      </c>
      <c r="AP193" s="131">
        <f t="shared" si="205"/>
        <v>0</v>
      </c>
      <c r="AQ193" s="131"/>
      <c r="AR193" s="131">
        <f t="shared" si="206"/>
        <v>0</v>
      </c>
      <c r="AS193" s="131">
        <f t="shared" si="252"/>
        <v>0</v>
      </c>
      <c r="AT193" s="131">
        <f t="shared" si="207"/>
        <v>0</v>
      </c>
      <c r="AU193" s="131">
        <f t="shared" si="208"/>
        <v>0</v>
      </c>
      <c r="AV193" s="131"/>
      <c r="AW193" s="131">
        <f t="shared" si="209"/>
        <v>0</v>
      </c>
      <c r="AX193" s="131">
        <f t="shared" si="263"/>
        <v>0</v>
      </c>
      <c r="AY193" s="131">
        <f t="shared" si="210"/>
        <v>0</v>
      </c>
      <c r="AZ193" s="131"/>
      <c r="BA193" s="131">
        <f t="shared" si="264"/>
        <v>0</v>
      </c>
      <c r="BB193" s="131"/>
      <c r="BC193" s="131"/>
      <c r="BD193" s="131">
        <f t="shared" si="211"/>
        <v>0</v>
      </c>
      <c r="BE193" s="131"/>
      <c r="BF193" s="131">
        <f t="shared" si="253"/>
        <v>0</v>
      </c>
      <c r="BG193" s="131">
        <f t="shared" si="254"/>
        <v>0</v>
      </c>
      <c r="BH193" s="131"/>
      <c r="BI193" s="131"/>
      <c r="BJ193" s="131"/>
      <c r="BK193" s="131">
        <f t="shared" si="255"/>
        <v>0</v>
      </c>
      <c r="BL193" s="131"/>
      <c r="BM193" s="131"/>
      <c r="BN193" s="131">
        <f t="shared" si="256"/>
        <v>0</v>
      </c>
      <c r="BO193" s="131"/>
      <c r="BP193" s="131">
        <f t="shared" si="257"/>
        <v>0</v>
      </c>
      <c r="BQ193" s="131"/>
      <c r="BR193" s="131"/>
      <c r="BS193" s="131"/>
      <c r="BT193" s="131"/>
      <c r="BU193" s="131"/>
      <c r="BV193" s="131">
        <f t="shared" si="258"/>
        <v>0</v>
      </c>
      <c r="BW193" s="131"/>
      <c r="BX193" s="131"/>
      <c r="BY193" s="131"/>
      <c r="BZ193" s="131">
        <f t="shared" si="259"/>
        <v>0</v>
      </c>
      <c r="CA193" s="131"/>
      <c r="CB193" s="136">
        <f t="shared" si="212"/>
        <v>160.55836672570746</v>
      </c>
      <c r="CC193" s="131">
        <f t="shared" si="213"/>
        <v>0</v>
      </c>
      <c r="CD193" s="136">
        <f t="shared" si="214"/>
        <v>0</v>
      </c>
      <c r="CE193" s="131">
        <f t="shared" si="262"/>
        <v>0</v>
      </c>
      <c r="CF193" s="136">
        <f t="shared" si="215"/>
        <v>0</v>
      </c>
      <c r="CG193" s="136"/>
      <c r="CH193" s="136">
        <f t="shared" si="261"/>
        <v>0</v>
      </c>
      <c r="CI193" s="131">
        <f t="shared" si="216"/>
        <v>0</v>
      </c>
      <c r="CJ193" s="131"/>
      <c r="CK193" s="136">
        <f t="shared" si="217"/>
        <v>0</v>
      </c>
      <c r="CL193" s="136">
        <f t="shared" si="218"/>
        <v>804.25411383551102</v>
      </c>
      <c r="CM193" s="131">
        <f t="shared" si="219"/>
        <v>0</v>
      </c>
      <c r="CN193" s="136">
        <f t="shared" si="220"/>
        <v>0</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f t="shared" si="226"/>
        <v>0</v>
      </c>
      <c r="DC193" s="131">
        <f t="shared" si="185"/>
        <v>0</v>
      </c>
      <c r="DD193" s="131">
        <f t="shared" si="227"/>
        <v>0</v>
      </c>
      <c r="DE193" s="131">
        <f t="shared" si="228"/>
        <v>0</v>
      </c>
      <c r="DF193" s="131">
        <f t="shared" si="229"/>
        <v>0</v>
      </c>
      <c r="DG193" s="131">
        <f t="shared" si="230"/>
        <v>0</v>
      </c>
      <c r="DH193" s="131"/>
      <c r="DI193" s="131"/>
      <c r="DJ193" s="131"/>
      <c r="DK193" s="137">
        <f t="shared" si="260"/>
        <v>4620.5129979953599</v>
      </c>
      <c r="DL193" s="227" t="e">
        <f t="shared" si="231"/>
        <v>#REF!</v>
      </c>
      <c r="DM193" s="227" t="e">
        <f t="shared" si="232"/>
        <v>#REF!</v>
      </c>
      <c r="DN193" s="228" t="e">
        <f t="shared" si="186"/>
        <v>#REF!</v>
      </c>
      <c r="DO193" s="228">
        <f t="shared" si="233"/>
        <v>194.35242757490622</v>
      </c>
      <c r="DP193" s="228" t="e">
        <f t="shared" si="234"/>
        <v>#REF!</v>
      </c>
      <c r="DQ193" s="228" t="e">
        <f t="shared" si="235"/>
        <v>#REF!</v>
      </c>
    </row>
    <row r="194" spans="1:121">
      <c r="A194" s="132">
        <f t="shared" si="265"/>
        <v>184</v>
      </c>
      <c r="B194" s="18">
        <f t="shared" si="236"/>
        <v>184</v>
      </c>
      <c r="C194" s="18">
        <f>IF(A194=0," ",VLOOKUP(B194,'tosafot '!$A$7:$B$234,2,0))</f>
        <v>4.2023000000000001</v>
      </c>
      <c r="D194" s="220">
        <f t="shared" si="237"/>
        <v>228</v>
      </c>
      <c r="E194" s="130">
        <f t="shared" si="238"/>
        <v>12.2026</v>
      </c>
      <c r="F194" s="126">
        <f t="shared" si="239"/>
        <v>22</v>
      </c>
      <c r="G194" s="18" t="str">
        <f t="shared" si="240"/>
        <v>התחבורה</v>
      </c>
      <c r="H194" s="189">
        <f t="shared" si="241"/>
        <v>122</v>
      </c>
      <c r="I194" s="18">
        <f t="shared" si="242"/>
        <v>1</v>
      </c>
      <c r="J194" s="18" t="str">
        <f t="shared" si="243"/>
        <v>מינהלי - עובדי מדינה</v>
      </c>
      <c r="K194" s="189">
        <f t="shared" si="244"/>
        <v>1</v>
      </c>
      <c r="L194" s="18">
        <f t="shared" si="245"/>
        <v>12</v>
      </c>
      <c r="M194" s="129" t="str">
        <f t="shared" si="246"/>
        <v>17+</v>
      </c>
      <c r="N194" s="189"/>
      <c r="O194" s="132">
        <f t="shared" si="247"/>
        <v>1012</v>
      </c>
      <c r="P194" s="127">
        <f t="shared" si="248"/>
        <v>37</v>
      </c>
      <c r="Q194" s="127">
        <f t="shared" si="249"/>
        <v>36.75</v>
      </c>
      <c r="R194" s="128">
        <f t="shared" si="250"/>
        <v>148</v>
      </c>
      <c r="S194" s="130">
        <f t="shared" si="251"/>
        <v>1.4414995494685181</v>
      </c>
      <c r="T194" s="135">
        <f t="shared" si="188"/>
        <v>0</v>
      </c>
      <c r="U194" s="127">
        <f t="shared" si="189"/>
        <v>0</v>
      </c>
      <c r="V194" s="217">
        <v>0</v>
      </c>
      <c r="W194" s="191">
        <v>0</v>
      </c>
      <c r="X194" s="133">
        <v>0</v>
      </c>
      <c r="Y194" s="131">
        <f t="shared" si="190"/>
        <v>2438.5</v>
      </c>
      <c r="Z194" s="131">
        <f t="shared" si="191"/>
        <v>1076.5966513789815</v>
      </c>
      <c r="AA194" s="242">
        <f t="shared" si="192"/>
        <v>3515.0966513789817</v>
      </c>
      <c r="AB194" s="131">
        <f t="shared" si="193"/>
        <v>0</v>
      </c>
      <c r="AC194" s="131">
        <f t="shared" si="194"/>
        <v>140.60386605515927</v>
      </c>
      <c r="AD194" s="131">
        <f t="shared" si="195"/>
        <v>0</v>
      </c>
      <c r="AE194" s="131">
        <f t="shared" si="196"/>
        <v>0</v>
      </c>
      <c r="AF194" s="131">
        <f t="shared" si="197"/>
        <v>0</v>
      </c>
      <c r="AG194" s="131">
        <f t="shared" si="198"/>
        <v>0</v>
      </c>
      <c r="AH194" s="131">
        <f t="shared" si="199"/>
        <v>0</v>
      </c>
      <c r="AI194" s="131">
        <f t="shared" si="200"/>
        <v>0</v>
      </c>
      <c r="AJ194" s="131">
        <f t="shared" si="201"/>
        <v>0</v>
      </c>
      <c r="AK194" s="131"/>
      <c r="AL194" s="131">
        <f t="shared" si="202"/>
        <v>0</v>
      </c>
      <c r="AM194" s="131"/>
      <c r="AN194" s="243">
        <f t="shared" si="203"/>
        <v>0</v>
      </c>
      <c r="AO194" s="131">
        <f t="shared" si="204"/>
        <v>0</v>
      </c>
      <c r="AP194" s="131">
        <f t="shared" si="205"/>
        <v>0</v>
      </c>
      <c r="AQ194" s="131"/>
      <c r="AR194" s="131">
        <f t="shared" si="206"/>
        <v>0</v>
      </c>
      <c r="AS194" s="131">
        <f t="shared" si="252"/>
        <v>0</v>
      </c>
      <c r="AT194" s="131">
        <f t="shared" si="207"/>
        <v>0</v>
      </c>
      <c r="AU194" s="131">
        <f t="shared" si="208"/>
        <v>0</v>
      </c>
      <c r="AV194" s="131"/>
      <c r="AW194" s="131">
        <f t="shared" si="209"/>
        <v>0</v>
      </c>
      <c r="AX194" s="131">
        <f t="shared" si="263"/>
        <v>0</v>
      </c>
      <c r="AY194" s="131">
        <f t="shared" si="210"/>
        <v>0</v>
      </c>
      <c r="AZ194" s="131"/>
      <c r="BA194" s="131">
        <f t="shared" si="264"/>
        <v>0</v>
      </c>
      <c r="BB194" s="131"/>
      <c r="BC194" s="131"/>
      <c r="BD194" s="131">
        <f t="shared" si="211"/>
        <v>0</v>
      </c>
      <c r="BE194" s="131"/>
      <c r="BF194" s="131">
        <f t="shared" si="253"/>
        <v>0</v>
      </c>
      <c r="BG194" s="131">
        <f t="shared" si="254"/>
        <v>0</v>
      </c>
      <c r="BH194" s="131"/>
      <c r="BI194" s="131"/>
      <c r="BJ194" s="131"/>
      <c r="BK194" s="131">
        <f t="shared" si="255"/>
        <v>0</v>
      </c>
      <c r="BL194" s="131"/>
      <c r="BM194" s="131"/>
      <c r="BN194" s="131">
        <f t="shared" si="256"/>
        <v>0</v>
      </c>
      <c r="BO194" s="131"/>
      <c r="BP194" s="131">
        <f t="shared" si="257"/>
        <v>0</v>
      </c>
      <c r="BQ194" s="131"/>
      <c r="BR194" s="131"/>
      <c r="BS194" s="131"/>
      <c r="BT194" s="131"/>
      <c r="BU194" s="131"/>
      <c r="BV194" s="131">
        <f t="shared" si="258"/>
        <v>0</v>
      </c>
      <c r="BW194" s="131"/>
      <c r="BX194" s="131"/>
      <c r="BY194" s="131"/>
      <c r="BZ194" s="131">
        <f t="shared" si="259"/>
        <v>0</v>
      </c>
      <c r="CA194" s="131"/>
      <c r="CB194" s="136">
        <f t="shared" si="212"/>
        <v>160.55836672570746</v>
      </c>
      <c r="CC194" s="131">
        <f t="shared" si="213"/>
        <v>0</v>
      </c>
      <c r="CD194" s="136">
        <f t="shared" si="214"/>
        <v>0</v>
      </c>
      <c r="CE194" s="131">
        <f t="shared" si="262"/>
        <v>0</v>
      </c>
      <c r="CF194" s="136">
        <f t="shared" si="215"/>
        <v>0</v>
      </c>
      <c r="CG194" s="136"/>
      <c r="CH194" s="136">
        <f t="shared" si="261"/>
        <v>0</v>
      </c>
      <c r="CI194" s="131">
        <f t="shared" si="216"/>
        <v>0</v>
      </c>
      <c r="CJ194" s="131"/>
      <c r="CK194" s="136">
        <f t="shared" si="217"/>
        <v>0</v>
      </c>
      <c r="CL194" s="136">
        <f t="shared" si="218"/>
        <v>804.25411383551102</v>
      </c>
      <c r="CM194" s="131">
        <f t="shared" si="219"/>
        <v>0</v>
      </c>
      <c r="CN194" s="136">
        <f t="shared" si="220"/>
        <v>0</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f t="shared" si="226"/>
        <v>0</v>
      </c>
      <c r="DC194" s="131">
        <f t="shared" si="185"/>
        <v>0</v>
      </c>
      <c r="DD194" s="131">
        <f t="shared" si="227"/>
        <v>0</v>
      </c>
      <c r="DE194" s="131">
        <f t="shared" si="228"/>
        <v>0</v>
      </c>
      <c r="DF194" s="131">
        <f t="shared" si="229"/>
        <v>0</v>
      </c>
      <c r="DG194" s="131">
        <f t="shared" si="230"/>
        <v>0</v>
      </c>
      <c r="DH194" s="131"/>
      <c r="DI194" s="131"/>
      <c r="DJ194" s="131"/>
      <c r="DK194" s="137">
        <f t="shared" si="260"/>
        <v>4620.5129979953599</v>
      </c>
      <c r="DL194" s="227" t="e">
        <f t="shared" si="231"/>
        <v>#REF!</v>
      </c>
      <c r="DM194" s="227" t="e">
        <f t="shared" si="232"/>
        <v>#REF!</v>
      </c>
      <c r="DN194" s="228" t="e">
        <f t="shared" si="186"/>
        <v>#REF!</v>
      </c>
      <c r="DO194" s="228">
        <f t="shared" si="233"/>
        <v>194.35242757490622</v>
      </c>
      <c r="DP194" s="228" t="e">
        <f t="shared" si="234"/>
        <v>#REF!</v>
      </c>
      <c r="DQ194" s="228" t="e">
        <f t="shared" si="235"/>
        <v>#REF!</v>
      </c>
    </row>
    <row r="195" spans="1:121">
      <c r="A195" s="132">
        <f t="shared" si="265"/>
        <v>185</v>
      </c>
      <c r="B195" s="18">
        <f t="shared" si="236"/>
        <v>185</v>
      </c>
      <c r="C195" s="18">
        <f>IF(A195=0," ",VLOOKUP(B195,'tosafot '!$A$7:$B$234,2,0))</f>
        <v>5.2023000000000001</v>
      </c>
      <c r="D195" s="220">
        <f t="shared" si="237"/>
        <v>228</v>
      </c>
      <c r="E195" s="130">
        <f t="shared" si="238"/>
        <v>12.2026</v>
      </c>
      <c r="F195" s="126">
        <f t="shared" si="239"/>
        <v>22</v>
      </c>
      <c r="G195" s="18" t="str">
        <f t="shared" si="240"/>
        <v>התחבורה</v>
      </c>
      <c r="H195" s="189">
        <f t="shared" si="241"/>
        <v>122</v>
      </c>
      <c r="I195" s="18">
        <f t="shared" si="242"/>
        <v>1</v>
      </c>
      <c r="J195" s="18" t="str">
        <f t="shared" si="243"/>
        <v>מינהלי - עובדי מדינה</v>
      </c>
      <c r="K195" s="189">
        <f t="shared" si="244"/>
        <v>1</v>
      </c>
      <c r="L195" s="18">
        <f t="shared" si="245"/>
        <v>12</v>
      </c>
      <c r="M195" s="129" t="str">
        <f t="shared" si="246"/>
        <v>17+</v>
      </c>
      <c r="N195" s="189"/>
      <c r="O195" s="132">
        <f t="shared" si="247"/>
        <v>1012</v>
      </c>
      <c r="P195" s="127">
        <f t="shared" si="248"/>
        <v>37</v>
      </c>
      <c r="Q195" s="127">
        <f t="shared" si="249"/>
        <v>36.75</v>
      </c>
      <c r="R195" s="128">
        <f t="shared" si="250"/>
        <v>148</v>
      </c>
      <c r="S195" s="130">
        <f t="shared" si="251"/>
        <v>1.4414995494685181</v>
      </c>
      <c r="T195" s="135">
        <f t="shared" si="188"/>
        <v>0</v>
      </c>
      <c r="U195" s="127">
        <f t="shared" si="189"/>
        <v>0</v>
      </c>
      <c r="V195" s="217">
        <v>0</v>
      </c>
      <c r="W195" s="191">
        <v>0</v>
      </c>
      <c r="X195" s="133">
        <v>0</v>
      </c>
      <c r="Y195" s="131">
        <f t="shared" si="190"/>
        <v>2438.5</v>
      </c>
      <c r="Z195" s="131">
        <f t="shared" si="191"/>
        <v>1076.5966513789815</v>
      </c>
      <c r="AA195" s="242">
        <f t="shared" si="192"/>
        <v>3515.0966513789817</v>
      </c>
      <c r="AB195" s="131">
        <f t="shared" si="193"/>
        <v>0</v>
      </c>
      <c r="AC195" s="131">
        <f t="shared" si="194"/>
        <v>140.60386605515927</v>
      </c>
      <c r="AD195" s="131">
        <f t="shared" si="195"/>
        <v>0</v>
      </c>
      <c r="AE195" s="131">
        <f t="shared" si="196"/>
        <v>0</v>
      </c>
      <c r="AF195" s="131">
        <f t="shared" si="197"/>
        <v>0</v>
      </c>
      <c r="AG195" s="131">
        <f t="shared" si="198"/>
        <v>0</v>
      </c>
      <c r="AH195" s="131">
        <f t="shared" si="199"/>
        <v>0</v>
      </c>
      <c r="AI195" s="131">
        <f t="shared" si="200"/>
        <v>0</v>
      </c>
      <c r="AJ195" s="131">
        <f t="shared" si="201"/>
        <v>0</v>
      </c>
      <c r="AK195" s="131"/>
      <c r="AL195" s="131">
        <f t="shared" si="202"/>
        <v>0</v>
      </c>
      <c r="AM195" s="131"/>
      <c r="AN195" s="243">
        <f t="shared" si="203"/>
        <v>0</v>
      </c>
      <c r="AO195" s="131">
        <f t="shared" si="204"/>
        <v>0</v>
      </c>
      <c r="AP195" s="131">
        <f t="shared" si="205"/>
        <v>0</v>
      </c>
      <c r="AQ195" s="131"/>
      <c r="AR195" s="131">
        <f t="shared" si="206"/>
        <v>0</v>
      </c>
      <c r="AS195" s="131">
        <f t="shared" si="252"/>
        <v>0</v>
      </c>
      <c r="AT195" s="131">
        <f t="shared" si="207"/>
        <v>0</v>
      </c>
      <c r="AU195" s="131">
        <f t="shared" si="208"/>
        <v>0</v>
      </c>
      <c r="AV195" s="131"/>
      <c r="AW195" s="131">
        <f t="shared" si="209"/>
        <v>0</v>
      </c>
      <c r="AX195" s="131">
        <f t="shared" si="263"/>
        <v>0</v>
      </c>
      <c r="AY195" s="131">
        <f t="shared" si="210"/>
        <v>0</v>
      </c>
      <c r="AZ195" s="131"/>
      <c r="BA195" s="131">
        <f t="shared" si="264"/>
        <v>0</v>
      </c>
      <c r="BB195" s="131"/>
      <c r="BC195" s="131"/>
      <c r="BD195" s="131">
        <f t="shared" si="211"/>
        <v>0</v>
      </c>
      <c r="BE195" s="131"/>
      <c r="BF195" s="131">
        <f t="shared" si="253"/>
        <v>0</v>
      </c>
      <c r="BG195" s="131">
        <f t="shared" si="254"/>
        <v>0</v>
      </c>
      <c r="BH195" s="131"/>
      <c r="BI195" s="131"/>
      <c r="BJ195" s="131"/>
      <c r="BK195" s="131">
        <f t="shared" si="255"/>
        <v>0</v>
      </c>
      <c r="BL195" s="131"/>
      <c r="BM195" s="131"/>
      <c r="BN195" s="131">
        <f t="shared" si="256"/>
        <v>0</v>
      </c>
      <c r="BO195" s="131"/>
      <c r="BP195" s="131">
        <f t="shared" si="257"/>
        <v>0</v>
      </c>
      <c r="BQ195" s="131"/>
      <c r="BR195" s="131"/>
      <c r="BS195" s="131"/>
      <c r="BT195" s="131"/>
      <c r="BU195" s="131"/>
      <c r="BV195" s="131">
        <f t="shared" si="258"/>
        <v>0</v>
      </c>
      <c r="BW195" s="131"/>
      <c r="BX195" s="131"/>
      <c r="BY195" s="131"/>
      <c r="BZ195" s="131">
        <f t="shared" si="259"/>
        <v>0</v>
      </c>
      <c r="CA195" s="131"/>
      <c r="CB195" s="136">
        <f t="shared" si="212"/>
        <v>160.55836672570746</v>
      </c>
      <c r="CC195" s="131">
        <f t="shared" si="213"/>
        <v>0</v>
      </c>
      <c r="CD195" s="136">
        <f t="shared" si="214"/>
        <v>0</v>
      </c>
      <c r="CE195" s="131">
        <f t="shared" si="262"/>
        <v>0</v>
      </c>
      <c r="CF195" s="136">
        <f t="shared" si="215"/>
        <v>0</v>
      </c>
      <c r="CG195" s="136"/>
      <c r="CH195" s="136">
        <f t="shared" si="261"/>
        <v>0</v>
      </c>
      <c r="CI195" s="131">
        <f t="shared" si="216"/>
        <v>0</v>
      </c>
      <c r="CJ195" s="131"/>
      <c r="CK195" s="136">
        <f t="shared" si="217"/>
        <v>0</v>
      </c>
      <c r="CL195" s="136">
        <f t="shared" si="218"/>
        <v>804.25411383551102</v>
      </c>
      <c r="CM195" s="131">
        <f t="shared" si="219"/>
        <v>0</v>
      </c>
      <c r="CN195" s="136">
        <f t="shared" si="220"/>
        <v>0</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f t="shared" si="226"/>
        <v>0</v>
      </c>
      <c r="DC195" s="131">
        <f t="shared" si="185"/>
        <v>0</v>
      </c>
      <c r="DD195" s="131">
        <f t="shared" si="227"/>
        <v>0</v>
      </c>
      <c r="DE195" s="131">
        <f t="shared" si="228"/>
        <v>0</v>
      </c>
      <c r="DF195" s="131">
        <f t="shared" si="229"/>
        <v>0</v>
      </c>
      <c r="DG195" s="131">
        <f t="shared" si="230"/>
        <v>0</v>
      </c>
      <c r="DH195" s="131"/>
      <c r="DI195" s="131"/>
      <c r="DJ195" s="131"/>
      <c r="DK195" s="137">
        <f t="shared" si="260"/>
        <v>4620.5129979953599</v>
      </c>
      <c r="DL195" s="227" t="e">
        <f t="shared" si="231"/>
        <v>#REF!</v>
      </c>
      <c r="DM195" s="227" t="e">
        <f t="shared" si="232"/>
        <v>#REF!</v>
      </c>
      <c r="DN195" s="228" t="e">
        <f t="shared" si="186"/>
        <v>#REF!</v>
      </c>
      <c r="DO195" s="228">
        <f t="shared" si="233"/>
        <v>194.35242757490622</v>
      </c>
      <c r="DP195" s="228" t="e">
        <f t="shared" si="234"/>
        <v>#REF!</v>
      </c>
      <c r="DQ195" s="228" t="e">
        <f t="shared" si="235"/>
        <v>#REF!</v>
      </c>
    </row>
    <row r="196" spans="1:121">
      <c r="A196" s="132">
        <f t="shared" si="265"/>
        <v>186</v>
      </c>
      <c r="B196" s="18">
        <f t="shared" si="236"/>
        <v>186</v>
      </c>
      <c r="C196" s="18">
        <f>IF(A196=0," ",VLOOKUP(B196,'tosafot '!$A$7:$B$234,2,0))</f>
        <v>6.2023000000000001</v>
      </c>
      <c r="D196" s="220">
        <f t="shared" si="237"/>
        <v>228</v>
      </c>
      <c r="E196" s="130">
        <f t="shared" si="238"/>
        <v>12.2026</v>
      </c>
      <c r="F196" s="126">
        <f t="shared" si="239"/>
        <v>22</v>
      </c>
      <c r="G196" s="18" t="str">
        <f t="shared" si="240"/>
        <v>התחבורה</v>
      </c>
      <c r="H196" s="189">
        <f t="shared" si="241"/>
        <v>122</v>
      </c>
      <c r="I196" s="18">
        <f t="shared" si="242"/>
        <v>1</v>
      </c>
      <c r="J196" s="18" t="str">
        <f t="shared" si="243"/>
        <v>מינהלי - עובדי מדינה</v>
      </c>
      <c r="K196" s="189">
        <f t="shared" si="244"/>
        <v>1</v>
      </c>
      <c r="L196" s="18">
        <f t="shared" si="245"/>
        <v>12</v>
      </c>
      <c r="M196" s="129" t="str">
        <f t="shared" si="246"/>
        <v>17+</v>
      </c>
      <c r="N196" s="189"/>
      <c r="O196" s="132">
        <f t="shared" si="247"/>
        <v>1012</v>
      </c>
      <c r="P196" s="127">
        <f t="shared" si="248"/>
        <v>37</v>
      </c>
      <c r="Q196" s="127">
        <f t="shared" si="249"/>
        <v>36.75</v>
      </c>
      <c r="R196" s="128">
        <f t="shared" si="250"/>
        <v>148</v>
      </c>
      <c r="S196" s="130">
        <f t="shared" si="251"/>
        <v>1.4414995494685181</v>
      </c>
      <c r="T196" s="135">
        <f t="shared" si="188"/>
        <v>0</v>
      </c>
      <c r="U196" s="127">
        <f t="shared" si="189"/>
        <v>0</v>
      </c>
      <c r="V196" s="217">
        <v>0</v>
      </c>
      <c r="W196" s="191">
        <v>0</v>
      </c>
      <c r="X196" s="133">
        <v>0</v>
      </c>
      <c r="Y196" s="131">
        <f t="shared" si="190"/>
        <v>2438.5</v>
      </c>
      <c r="Z196" s="131">
        <f t="shared" si="191"/>
        <v>1076.5966513789815</v>
      </c>
      <c r="AA196" s="242">
        <f t="shared" si="192"/>
        <v>3515.0966513789817</v>
      </c>
      <c r="AB196" s="131">
        <f t="shared" si="193"/>
        <v>0</v>
      </c>
      <c r="AC196" s="131">
        <f t="shared" si="194"/>
        <v>140.60386605515927</v>
      </c>
      <c r="AD196" s="131">
        <f t="shared" si="195"/>
        <v>0</v>
      </c>
      <c r="AE196" s="131">
        <f t="shared" si="196"/>
        <v>0</v>
      </c>
      <c r="AF196" s="131">
        <f t="shared" si="197"/>
        <v>0</v>
      </c>
      <c r="AG196" s="131">
        <f t="shared" si="198"/>
        <v>0</v>
      </c>
      <c r="AH196" s="131">
        <f t="shared" si="199"/>
        <v>0</v>
      </c>
      <c r="AI196" s="131">
        <f t="shared" si="200"/>
        <v>0</v>
      </c>
      <c r="AJ196" s="131">
        <f t="shared" si="201"/>
        <v>0</v>
      </c>
      <c r="AK196" s="131"/>
      <c r="AL196" s="131">
        <f t="shared" si="202"/>
        <v>0</v>
      </c>
      <c r="AM196" s="131"/>
      <c r="AN196" s="243">
        <f t="shared" si="203"/>
        <v>0</v>
      </c>
      <c r="AO196" s="131">
        <f t="shared" si="204"/>
        <v>0</v>
      </c>
      <c r="AP196" s="131">
        <f t="shared" si="205"/>
        <v>0</v>
      </c>
      <c r="AQ196" s="131"/>
      <c r="AR196" s="131">
        <f t="shared" si="206"/>
        <v>0</v>
      </c>
      <c r="AS196" s="131">
        <f t="shared" si="252"/>
        <v>0</v>
      </c>
      <c r="AT196" s="131">
        <f t="shared" si="207"/>
        <v>0</v>
      </c>
      <c r="AU196" s="131">
        <f t="shared" si="208"/>
        <v>0</v>
      </c>
      <c r="AV196" s="131"/>
      <c r="AW196" s="131">
        <f t="shared" si="209"/>
        <v>0</v>
      </c>
      <c r="AX196" s="131">
        <f t="shared" si="263"/>
        <v>0</v>
      </c>
      <c r="AY196" s="131">
        <f t="shared" si="210"/>
        <v>0</v>
      </c>
      <c r="AZ196" s="131"/>
      <c r="BA196" s="131">
        <f t="shared" si="264"/>
        <v>0</v>
      </c>
      <c r="BB196" s="131"/>
      <c r="BC196" s="131"/>
      <c r="BD196" s="131">
        <f t="shared" si="211"/>
        <v>0</v>
      </c>
      <c r="BE196" s="131"/>
      <c r="BF196" s="131">
        <f t="shared" si="253"/>
        <v>0</v>
      </c>
      <c r="BG196" s="131">
        <f t="shared" si="254"/>
        <v>0</v>
      </c>
      <c r="BH196" s="131"/>
      <c r="BI196" s="131"/>
      <c r="BJ196" s="131"/>
      <c r="BK196" s="131">
        <f t="shared" si="255"/>
        <v>0</v>
      </c>
      <c r="BL196" s="131"/>
      <c r="BM196" s="131"/>
      <c r="BN196" s="131">
        <f t="shared" si="256"/>
        <v>0</v>
      </c>
      <c r="BO196" s="131"/>
      <c r="BP196" s="131">
        <f t="shared" si="257"/>
        <v>0</v>
      </c>
      <c r="BQ196" s="131"/>
      <c r="BR196" s="131"/>
      <c r="BS196" s="131"/>
      <c r="BT196" s="131"/>
      <c r="BU196" s="131"/>
      <c r="BV196" s="131">
        <f t="shared" si="258"/>
        <v>0</v>
      </c>
      <c r="BW196" s="131"/>
      <c r="BX196" s="131"/>
      <c r="BY196" s="131"/>
      <c r="BZ196" s="131">
        <f t="shared" si="259"/>
        <v>0</v>
      </c>
      <c r="CA196" s="131"/>
      <c r="CB196" s="136">
        <f t="shared" si="212"/>
        <v>160.55836672570746</v>
      </c>
      <c r="CC196" s="131">
        <f t="shared" si="213"/>
        <v>0</v>
      </c>
      <c r="CD196" s="136">
        <f t="shared" si="214"/>
        <v>0</v>
      </c>
      <c r="CE196" s="131">
        <f t="shared" si="262"/>
        <v>0</v>
      </c>
      <c r="CF196" s="136">
        <f t="shared" si="215"/>
        <v>0</v>
      </c>
      <c r="CG196" s="136"/>
      <c r="CH196" s="136">
        <f t="shared" si="261"/>
        <v>0</v>
      </c>
      <c r="CI196" s="131">
        <f t="shared" si="216"/>
        <v>0</v>
      </c>
      <c r="CJ196" s="131"/>
      <c r="CK196" s="136">
        <f t="shared" si="217"/>
        <v>0</v>
      </c>
      <c r="CL196" s="136">
        <f t="shared" si="218"/>
        <v>804.25411383551102</v>
      </c>
      <c r="CM196" s="131">
        <f t="shared" si="219"/>
        <v>0</v>
      </c>
      <c r="CN196" s="136">
        <f t="shared" si="220"/>
        <v>0</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f t="shared" si="226"/>
        <v>0</v>
      </c>
      <c r="DC196" s="131">
        <f t="shared" si="185"/>
        <v>0</v>
      </c>
      <c r="DD196" s="131">
        <f t="shared" si="227"/>
        <v>0</v>
      </c>
      <c r="DE196" s="131">
        <f t="shared" si="228"/>
        <v>0</v>
      </c>
      <c r="DF196" s="131">
        <f t="shared" si="229"/>
        <v>0</v>
      </c>
      <c r="DG196" s="131">
        <f t="shared" si="230"/>
        <v>0</v>
      </c>
      <c r="DH196" s="131"/>
      <c r="DI196" s="131"/>
      <c r="DJ196" s="131"/>
      <c r="DK196" s="137">
        <f t="shared" si="260"/>
        <v>4620.5129979953599</v>
      </c>
      <c r="DL196" s="227" t="e">
        <f t="shared" si="231"/>
        <v>#REF!</v>
      </c>
      <c r="DM196" s="227" t="e">
        <f t="shared" si="232"/>
        <v>#REF!</v>
      </c>
      <c r="DN196" s="228" t="e">
        <f t="shared" si="186"/>
        <v>#REF!</v>
      </c>
      <c r="DO196" s="228">
        <f t="shared" si="233"/>
        <v>194.35242757490622</v>
      </c>
      <c r="DP196" s="228" t="e">
        <f t="shared" si="234"/>
        <v>#REF!</v>
      </c>
      <c r="DQ196" s="228" t="e">
        <f t="shared" si="235"/>
        <v>#REF!</v>
      </c>
    </row>
    <row r="197" spans="1:121">
      <c r="A197" s="132">
        <f t="shared" si="265"/>
        <v>187</v>
      </c>
      <c r="B197" s="18">
        <f t="shared" si="236"/>
        <v>187</v>
      </c>
      <c r="C197" s="18">
        <f>IF(A197=0," ",VLOOKUP(B197,'tosafot '!$A$7:$B$234,2,0))</f>
        <v>7.2023000000000001</v>
      </c>
      <c r="D197" s="220">
        <f t="shared" si="237"/>
        <v>228</v>
      </c>
      <c r="E197" s="130">
        <f t="shared" si="238"/>
        <v>12.2026</v>
      </c>
      <c r="F197" s="126">
        <f t="shared" si="239"/>
        <v>22</v>
      </c>
      <c r="G197" s="18" t="str">
        <f t="shared" si="240"/>
        <v>התחבורה</v>
      </c>
      <c r="H197" s="189">
        <f t="shared" si="241"/>
        <v>122</v>
      </c>
      <c r="I197" s="18">
        <f t="shared" si="242"/>
        <v>1</v>
      </c>
      <c r="J197" s="18" t="str">
        <f t="shared" si="243"/>
        <v>מינהלי - עובדי מדינה</v>
      </c>
      <c r="K197" s="189">
        <f t="shared" si="244"/>
        <v>1</v>
      </c>
      <c r="L197" s="18">
        <f t="shared" si="245"/>
        <v>12</v>
      </c>
      <c r="M197" s="129" t="str">
        <f t="shared" si="246"/>
        <v>17+</v>
      </c>
      <c r="N197" s="189"/>
      <c r="O197" s="132">
        <f t="shared" si="247"/>
        <v>1012</v>
      </c>
      <c r="P197" s="127">
        <f t="shared" si="248"/>
        <v>37</v>
      </c>
      <c r="Q197" s="127">
        <f t="shared" si="249"/>
        <v>36.75</v>
      </c>
      <c r="R197" s="128">
        <f t="shared" si="250"/>
        <v>148</v>
      </c>
      <c r="S197" s="130">
        <f t="shared" si="251"/>
        <v>1.4414995494685181</v>
      </c>
      <c r="T197" s="135">
        <f t="shared" si="188"/>
        <v>0</v>
      </c>
      <c r="U197" s="127">
        <f t="shared" si="189"/>
        <v>0</v>
      </c>
      <c r="V197" s="217">
        <v>0</v>
      </c>
      <c r="W197" s="191">
        <v>0</v>
      </c>
      <c r="X197" s="133">
        <v>0</v>
      </c>
      <c r="Y197" s="131">
        <f t="shared" si="190"/>
        <v>2438.5</v>
      </c>
      <c r="Z197" s="131">
        <f t="shared" si="191"/>
        <v>1076.5966513789815</v>
      </c>
      <c r="AA197" s="242">
        <f t="shared" si="192"/>
        <v>3515.0966513789817</v>
      </c>
      <c r="AB197" s="131">
        <f t="shared" si="193"/>
        <v>0</v>
      </c>
      <c r="AC197" s="131">
        <f t="shared" si="194"/>
        <v>140.60386605515927</v>
      </c>
      <c r="AD197" s="131">
        <f t="shared" si="195"/>
        <v>0</v>
      </c>
      <c r="AE197" s="131">
        <f t="shared" si="196"/>
        <v>0</v>
      </c>
      <c r="AF197" s="131">
        <f t="shared" si="197"/>
        <v>0</v>
      </c>
      <c r="AG197" s="131">
        <f t="shared" si="198"/>
        <v>0</v>
      </c>
      <c r="AH197" s="131">
        <f t="shared" si="199"/>
        <v>0</v>
      </c>
      <c r="AI197" s="131">
        <f t="shared" si="200"/>
        <v>0</v>
      </c>
      <c r="AJ197" s="131">
        <f t="shared" si="201"/>
        <v>0</v>
      </c>
      <c r="AK197" s="131"/>
      <c r="AL197" s="131">
        <f t="shared" si="202"/>
        <v>0</v>
      </c>
      <c r="AM197" s="131"/>
      <c r="AN197" s="243">
        <f t="shared" si="203"/>
        <v>0</v>
      </c>
      <c r="AO197" s="131">
        <f t="shared" si="204"/>
        <v>0</v>
      </c>
      <c r="AP197" s="131">
        <f t="shared" si="205"/>
        <v>0</v>
      </c>
      <c r="AQ197" s="131"/>
      <c r="AR197" s="131">
        <f t="shared" si="206"/>
        <v>0</v>
      </c>
      <c r="AS197" s="131">
        <f t="shared" si="252"/>
        <v>0</v>
      </c>
      <c r="AT197" s="131">
        <f t="shared" si="207"/>
        <v>0</v>
      </c>
      <c r="AU197" s="131">
        <f t="shared" si="208"/>
        <v>0</v>
      </c>
      <c r="AV197" s="131"/>
      <c r="AW197" s="131">
        <f t="shared" si="209"/>
        <v>0</v>
      </c>
      <c r="AX197" s="131">
        <f t="shared" si="263"/>
        <v>0</v>
      </c>
      <c r="AY197" s="131">
        <f t="shared" si="210"/>
        <v>0</v>
      </c>
      <c r="AZ197" s="131"/>
      <c r="BA197" s="131">
        <f t="shared" si="264"/>
        <v>0</v>
      </c>
      <c r="BB197" s="131"/>
      <c r="BC197" s="131"/>
      <c r="BD197" s="131">
        <f t="shared" si="211"/>
        <v>0</v>
      </c>
      <c r="BE197" s="131"/>
      <c r="BF197" s="131">
        <f t="shared" si="253"/>
        <v>0</v>
      </c>
      <c r="BG197" s="131">
        <f t="shared" si="254"/>
        <v>0</v>
      </c>
      <c r="BH197" s="131"/>
      <c r="BI197" s="131"/>
      <c r="BJ197" s="131"/>
      <c r="BK197" s="131">
        <f t="shared" si="255"/>
        <v>0</v>
      </c>
      <c r="BL197" s="131"/>
      <c r="BM197" s="131"/>
      <c r="BN197" s="131">
        <f t="shared" si="256"/>
        <v>0</v>
      </c>
      <c r="BO197" s="131"/>
      <c r="BP197" s="131">
        <f t="shared" si="257"/>
        <v>0</v>
      </c>
      <c r="BQ197" s="131"/>
      <c r="BR197" s="131"/>
      <c r="BS197" s="131"/>
      <c r="BT197" s="131"/>
      <c r="BU197" s="131"/>
      <c r="BV197" s="131">
        <f t="shared" si="258"/>
        <v>0</v>
      </c>
      <c r="BW197" s="131"/>
      <c r="BX197" s="131"/>
      <c r="BY197" s="131"/>
      <c r="BZ197" s="131">
        <f t="shared" si="259"/>
        <v>0</v>
      </c>
      <c r="CA197" s="131"/>
      <c r="CB197" s="136">
        <f t="shared" si="212"/>
        <v>160.55836672570746</v>
      </c>
      <c r="CC197" s="131">
        <f t="shared" si="213"/>
        <v>0</v>
      </c>
      <c r="CD197" s="136">
        <f t="shared" si="214"/>
        <v>0</v>
      </c>
      <c r="CE197" s="131">
        <f t="shared" si="262"/>
        <v>0</v>
      </c>
      <c r="CF197" s="136">
        <f t="shared" si="215"/>
        <v>0</v>
      </c>
      <c r="CG197" s="136"/>
      <c r="CH197" s="136">
        <f t="shared" si="261"/>
        <v>0</v>
      </c>
      <c r="CI197" s="131">
        <f t="shared" si="216"/>
        <v>0</v>
      </c>
      <c r="CJ197" s="131"/>
      <c r="CK197" s="136">
        <f t="shared" si="217"/>
        <v>0</v>
      </c>
      <c r="CL197" s="136">
        <f t="shared" si="218"/>
        <v>804.25411383551102</v>
      </c>
      <c r="CM197" s="131">
        <f t="shared" si="219"/>
        <v>0</v>
      </c>
      <c r="CN197" s="136">
        <f t="shared" si="220"/>
        <v>0</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f t="shared" si="226"/>
        <v>0</v>
      </c>
      <c r="DC197" s="131">
        <f t="shared" si="185"/>
        <v>0</v>
      </c>
      <c r="DD197" s="131">
        <f t="shared" si="227"/>
        <v>0</v>
      </c>
      <c r="DE197" s="131">
        <f t="shared" si="228"/>
        <v>0</v>
      </c>
      <c r="DF197" s="131">
        <f t="shared" si="229"/>
        <v>0</v>
      </c>
      <c r="DG197" s="131">
        <f t="shared" si="230"/>
        <v>0</v>
      </c>
      <c r="DH197" s="131"/>
      <c r="DI197" s="131"/>
      <c r="DJ197" s="131"/>
      <c r="DK197" s="137">
        <f t="shared" si="260"/>
        <v>4620.5129979953599</v>
      </c>
      <c r="DL197" s="227" t="e">
        <f t="shared" si="231"/>
        <v>#REF!</v>
      </c>
      <c r="DM197" s="227" t="e">
        <f t="shared" si="232"/>
        <v>#REF!</v>
      </c>
      <c r="DN197" s="228" t="e">
        <f t="shared" si="186"/>
        <v>#REF!</v>
      </c>
      <c r="DO197" s="228">
        <f t="shared" si="233"/>
        <v>194.35242757490622</v>
      </c>
      <c r="DP197" s="228" t="e">
        <f t="shared" si="234"/>
        <v>#REF!</v>
      </c>
      <c r="DQ197" s="228" t="e">
        <f t="shared" si="235"/>
        <v>#REF!</v>
      </c>
    </row>
    <row r="198" spans="1:121">
      <c r="A198" s="132">
        <f t="shared" si="265"/>
        <v>188</v>
      </c>
      <c r="B198" s="18">
        <f t="shared" si="236"/>
        <v>188</v>
      </c>
      <c r="C198" s="18">
        <f>IF(A198=0," ",VLOOKUP(B198,'tosafot '!$A$7:$B$234,2,0))</f>
        <v>8.2022999999999993</v>
      </c>
      <c r="D198" s="220">
        <f t="shared" si="237"/>
        <v>228</v>
      </c>
      <c r="E198" s="130">
        <f t="shared" si="238"/>
        <v>12.2026</v>
      </c>
      <c r="F198" s="126">
        <f t="shared" si="239"/>
        <v>22</v>
      </c>
      <c r="G198" s="18" t="str">
        <f t="shared" si="240"/>
        <v>התחבורה</v>
      </c>
      <c r="H198" s="189">
        <f t="shared" si="241"/>
        <v>122</v>
      </c>
      <c r="I198" s="18">
        <f t="shared" si="242"/>
        <v>1</v>
      </c>
      <c r="J198" s="18" t="str">
        <f t="shared" si="243"/>
        <v>מינהלי - עובדי מדינה</v>
      </c>
      <c r="K198" s="189">
        <f t="shared" si="244"/>
        <v>1</v>
      </c>
      <c r="L198" s="18">
        <f t="shared" si="245"/>
        <v>12</v>
      </c>
      <c r="M198" s="129" t="str">
        <f t="shared" si="246"/>
        <v>17+</v>
      </c>
      <c r="N198" s="189"/>
      <c r="O198" s="132">
        <f t="shared" si="247"/>
        <v>1012</v>
      </c>
      <c r="P198" s="127">
        <f t="shared" si="248"/>
        <v>37</v>
      </c>
      <c r="Q198" s="127">
        <f t="shared" si="249"/>
        <v>36.75</v>
      </c>
      <c r="R198" s="128">
        <f t="shared" si="250"/>
        <v>148</v>
      </c>
      <c r="S198" s="130">
        <f t="shared" si="251"/>
        <v>1.4414995494685181</v>
      </c>
      <c r="T198" s="135">
        <f t="shared" si="188"/>
        <v>0</v>
      </c>
      <c r="U198" s="127">
        <f t="shared" si="189"/>
        <v>0</v>
      </c>
      <c r="V198" s="217">
        <v>0</v>
      </c>
      <c r="W198" s="191">
        <v>0</v>
      </c>
      <c r="X198" s="133">
        <v>0</v>
      </c>
      <c r="Y198" s="131">
        <f t="shared" si="190"/>
        <v>2438.5</v>
      </c>
      <c r="Z198" s="131">
        <f t="shared" si="191"/>
        <v>1076.5966513789815</v>
      </c>
      <c r="AA198" s="242">
        <f t="shared" si="192"/>
        <v>3515.0966513789817</v>
      </c>
      <c r="AB198" s="131">
        <f t="shared" si="193"/>
        <v>0</v>
      </c>
      <c r="AC198" s="131">
        <f t="shared" si="194"/>
        <v>140.60386605515927</v>
      </c>
      <c r="AD198" s="131">
        <f t="shared" si="195"/>
        <v>0</v>
      </c>
      <c r="AE198" s="131">
        <f t="shared" si="196"/>
        <v>0</v>
      </c>
      <c r="AF198" s="131">
        <f t="shared" si="197"/>
        <v>0</v>
      </c>
      <c r="AG198" s="131">
        <f t="shared" si="198"/>
        <v>0</v>
      </c>
      <c r="AH198" s="131">
        <f t="shared" si="199"/>
        <v>0</v>
      </c>
      <c r="AI198" s="131">
        <f t="shared" si="200"/>
        <v>0</v>
      </c>
      <c r="AJ198" s="131">
        <f t="shared" si="201"/>
        <v>0</v>
      </c>
      <c r="AK198" s="131"/>
      <c r="AL198" s="131">
        <f t="shared" si="202"/>
        <v>0</v>
      </c>
      <c r="AM198" s="131"/>
      <c r="AN198" s="243">
        <f t="shared" si="203"/>
        <v>0</v>
      </c>
      <c r="AO198" s="131">
        <f t="shared" si="204"/>
        <v>0</v>
      </c>
      <c r="AP198" s="131">
        <f t="shared" si="205"/>
        <v>0</v>
      </c>
      <c r="AQ198" s="131"/>
      <c r="AR198" s="131">
        <f t="shared" si="206"/>
        <v>0</v>
      </c>
      <c r="AS198" s="131">
        <f t="shared" si="252"/>
        <v>0</v>
      </c>
      <c r="AT198" s="131">
        <f t="shared" si="207"/>
        <v>0</v>
      </c>
      <c r="AU198" s="131">
        <f t="shared" si="208"/>
        <v>0</v>
      </c>
      <c r="AV198" s="131"/>
      <c r="AW198" s="131">
        <f t="shared" si="209"/>
        <v>0</v>
      </c>
      <c r="AX198" s="131">
        <f t="shared" si="263"/>
        <v>0</v>
      </c>
      <c r="AY198" s="131">
        <f t="shared" si="210"/>
        <v>0</v>
      </c>
      <c r="AZ198" s="131"/>
      <c r="BA198" s="131">
        <f t="shared" si="264"/>
        <v>0</v>
      </c>
      <c r="BB198" s="131"/>
      <c r="BC198" s="131"/>
      <c r="BD198" s="131">
        <f t="shared" si="211"/>
        <v>0</v>
      </c>
      <c r="BE198" s="131"/>
      <c r="BF198" s="131">
        <f t="shared" si="253"/>
        <v>0</v>
      </c>
      <c r="BG198" s="131">
        <f t="shared" si="254"/>
        <v>0</v>
      </c>
      <c r="BH198" s="131"/>
      <c r="BI198" s="131"/>
      <c r="BJ198" s="131"/>
      <c r="BK198" s="131">
        <f t="shared" si="255"/>
        <v>0</v>
      </c>
      <c r="BL198" s="131"/>
      <c r="BM198" s="131"/>
      <c r="BN198" s="131">
        <f t="shared" si="256"/>
        <v>0</v>
      </c>
      <c r="BO198" s="131"/>
      <c r="BP198" s="131">
        <f t="shared" si="257"/>
        <v>0</v>
      </c>
      <c r="BQ198" s="131"/>
      <c r="BR198" s="131"/>
      <c r="BS198" s="131"/>
      <c r="BT198" s="131"/>
      <c r="BU198" s="131"/>
      <c r="BV198" s="131">
        <f t="shared" si="258"/>
        <v>0</v>
      </c>
      <c r="BW198" s="131"/>
      <c r="BX198" s="131"/>
      <c r="BY198" s="131"/>
      <c r="BZ198" s="131">
        <f t="shared" si="259"/>
        <v>0</v>
      </c>
      <c r="CA198" s="131"/>
      <c r="CB198" s="136">
        <f t="shared" si="212"/>
        <v>160.55836672570746</v>
      </c>
      <c r="CC198" s="131">
        <f t="shared" si="213"/>
        <v>0</v>
      </c>
      <c r="CD198" s="136">
        <f t="shared" si="214"/>
        <v>0</v>
      </c>
      <c r="CE198" s="131">
        <f t="shared" si="262"/>
        <v>0</v>
      </c>
      <c r="CF198" s="136">
        <f t="shared" si="215"/>
        <v>0</v>
      </c>
      <c r="CG198" s="136"/>
      <c r="CH198" s="136">
        <f t="shared" si="261"/>
        <v>0</v>
      </c>
      <c r="CI198" s="131">
        <f t="shared" si="216"/>
        <v>0</v>
      </c>
      <c r="CJ198" s="131"/>
      <c r="CK198" s="136">
        <f t="shared" si="217"/>
        <v>0</v>
      </c>
      <c r="CL198" s="136">
        <f t="shared" si="218"/>
        <v>804.25411383551102</v>
      </c>
      <c r="CM198" s="131">
        <f t="shared" si="219"/>
        <v>0</v>
      </c>
      <c r="CN198" s="136">
        <f t="shared" si="220"/>
        <v>0</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f t="shared" si="226"/>
        <v>0</v>
      </c>
      <c r="DC198" s="131">
        <f t="shared" si="185"/>
        <v>0</v>
      </c>
      <c r="DD198" s="131">
        <f t="shared" si="227"/>
        <v>0</v>
      </c>
      <c r="DE198" s="131">
        <f t="shared" si="228"/>
        <v>0</v>
      </c>
      <c r="DF198" s="131">
        <f t="shared" si="229"/>
        <v>0</v>
      </c>
      <c r="DG198" s="131">
        <f t="shared" si="230"/>
        <v>0</v>
      </c>
      <c r="DH198" s="131"/>
      <c r="DI198" s="131"/>
      <c r="DJ198" s="131"/>
      <c r="DK198" s="137">
        <f t="shared" si="260"/>
        <v>4620.5129979953599</v>
      </c>
      <c r="DL198" s="227" t="e">
        <f t="shared" si="231"/>
        <v>#REF!</v>
      </c>
      <c r="DM198" s="227" t="e">
        <f t="shared" si="232"/>
        <v>#REF!</v>
      </c>
      <c r="DN198" s="228" t="e">
        <f t="shared" si="186"/>
        <v>#REF!</v>
      </c>
      <c r="DO198" s="228">
        <f t="shared" si="233"/>
        <v>194.35242757490622</v>
      </c>
      <c r="DP198" s="228" t="e">
        <f t="shared" si="234"/>
        <v>#REF!</v>
      </c>
      <c r="DQ198" s="228" t="e">
        <f t="shared" si="235"/>
        <v>#REF!</v>
      </c>
    </row>
    <row r="199" spans="1:121">
      <c r="A199" s="132">
        <f t="shared" si="265"/>
        <v>189</v>
      </c>
      <c r="B199" s="18">
        <f t="shared" si="236"/>
        <v>189</v>
      </c>
      <c r="C199" s="18">
        <f>IF(A199=0," ",VLOOKUP(B199,'tosafot '!$A$7:$B$234,2,0))</f>
        <v>9.2022999999999993</v>
      </c>
      <c r="D199" s="220">
        <f t="shared" si="237"/>
        <v>228</v>
      </c>
      <c r="E199" s="130">
        <f t="shared" si="238"/>
        <v>12.2026</v>
      </c>
      <c r="F199" s="126">
        <f t="shared" si="239"/>
        <v>22</v>
      </c>
      <c r="G199" s="18" t="str">
        <f t="shared" si="240"/>
        <v>התחבורה</v>
      </c>
      <c r="H199" s="189">
        <f t="shared" si="241"/>
        <v>122</v>
      </c>
      <c r="I199" s="18">
        <f t="shared" si="242"/>
        <v>1</v>
      </c>
      <c r="J199" s="18" t="str">
        <f t="shared" si="243"/>
        <v>מינהלי - עובדי מדינה</v>
      </c>
      <c r="K199" s="189">
        <f t="shared" si="244"/>
        <v>1</v>
      </c>
      <c r="L199" s="18">
        <f t="shared" si="245"/>
        <v>12</v>
      </c>
      <c r="M199" s="129" t="str">
        <f t="shared" si="246"/>
        <v>17+</v>
      </c>
      <c r="N199" s="189"/>
      <c r="O199" s="132">
        <f t="shared" si="247"/>
        <v>1012</v>
      </c>
      <c r="P199" s="127">
        <f t="shared" si="248"/>
        <v>37</v>
      </c>
      <c r="Q199" s="127">
        <f t="shared" si="249"/>
        <v>36.75</v>
      </c>
      <c r="R199" s="128">
        <f t="shared" si="250"/>
        <v>148</v>
      </c>
      <c r="S199" s="130">
        <f t="shared" si="251"/>
        <v>1.4414995494685181</v>
      </c>
      <c r="T199" s="135">
        <f t="shared" si="188"/>
        <v>0</v>
      </c>
      <c r="U199" s="127">
        <f t="shared" si="189"/>
        <v>0</v>
      </c>
      <c r="V199" s="217">
        <v>0</v>
      </c>
      <c r="W199" s="191">
        <v>0</v>
      </c>
      <c r="X199" s="133">
        <v>0</v>
      </c>
      <c r="Y199" s="131">
        <f t="shared" si="190"/>
        <v>2438.5</v>
      </c>
      <c r="Z199" s="131">
        <f t="shared" si="191"/>
        <v>1076.5966513789815</v>
      </c>
      <c r="AA199" s="242">
        <f t="shared" si="192"/>
        <v>3515.0966513789817</v>
      </c>
      <c r="AB199" s="131">
        <f t="shared" si="193"/>
        <v>0</v>
      </c>
      <c r="AC199" s="131">
        <f t="shared" si="194"/>
        <v>140.60386605515927</v>
      </c>
      <c r="AD199" s="131">
        <f t="shared" si="195"/>
        <v>0</v>
      </c>
      <c r="AE199" s="131">
        <f t="shared" si="196"/>
        <v>0</v>
      </c>
      <c r="AF199" s="131">
        <f t="shared" si="197"/>
        <v>0</v>
      </c>
      <c r="AG199" s="131">
        <f t="shared" si="198"/>
        <v>0</v>
      </c>
      <c r="AH199" s="131">
        <f t="shared" si="199"/>
        <v>0</v>
      </c>
      <c r="AI199" s="131">
        <f t="shared" si="200"/>
        <v>0</v>
      </c>
      <c r="AJ199" s="131">
        <f t="shared" si="201"/>
        <v>0</v>
      </c>
      <c r="AK199" s="131"/>
      <c r="AL199" s="131">
        <f t="shared" si="202"/>
        <v>0</v>
      </c>
      <c r="AM199" s="131"/>
      <c r="AN199" s="243">
        <f t="shared" si="203"/>
        <v>0</v>
      </c>
      <c r="AO199" s="131">
        <f t="shared" si="204"/>
        <v>0</v>
      </c>
      <c r="AP199" s="131">
        <f t="shared" si="205"/>
        <v>0</v>
      </c>
      <c r="AQ199" s="131"/>
      <c r="AR199" s="131">
        <f t="shared" si="206"/>
        <v>0</v>
      </c>
      <c r="AS199" s="131">
        <f t="shared" si="252"/>
        <v>0</v>
      </c>
      <c r="AT199" s="131">
        <f t="shared" si="207"/>
        <v>0</v>
      </c>
      <c r="AU199" s="131">
        <f t="shared" si="208"/>
        <v>0</v>
      </c>
      <c r="AV199" s="131"/>
      <c r="AW199" s="131">
        <f t="shared" si="209"/>
        <v>0</v>
      </c>
      <c r="AX199" s="131">
        <f t="shared" si="263"/>
        <v>0</v>
      </c>
      <c r="AY199" s="131">
        <f t="shared" si="210"/>
        <v>0</v>
      </c>
      <c r="AZ199" s="131"/>
      <c r="BA199" s="131">
        <f t="shared" si="264"/>
        <v>0</v>
      </c>
      <c r="BB199" s="131"/>
      <c r="BC199" s="131"/>
      <c r="BD199" s="131">
        <f t="shared" si="211"/>
        <v>0</v>
      </c>
      <c r="BE199" s="131"/>
      <c r="BF199" s="131">
        <f t="shared" si="253"/>
        <v>0</v>
      </c>
      <c r="BG199" s="131">
        <f t="shared" si="254"/>
        <v>0</v>
      </c>
      <c r="BH199" s="131"/>
      <c r="BI199" s="131"/>
      <c r="BJ199" s="131"/>
      <c r="BK199" s="131">
        <f t="shared" si="255"/>
        <v>0</v>
      </c>
      <c r="BL199" s="131"/>
      <c r="BM199" s="131"/>
      <c r="BN199" s="131">
        <f t="shared" si="256"/>
        <v>0</v>
      </c>
      <c r="BO199" s="131"/>
      <c r="BP199" s="131">
        <f t="shared" si="257"/>
        <v>0</v>
      </c>
      <c r="BQ199" s="131"/>
      <c r="BR199" s="131"/>
      <c r="BS199" s="131"/>
      <c r="BT199" s="131"/>
      <c r="BU199" s="131"/>
      <c r="BV199" s="131">
        <f t="shared" si="258"/>
        <v>0</v>
      </c>
      <c r="BW199" s="131"/>
      <c r="BX199" s="131"/>
      <c r="BY199" s="131"/>
      <c r="BZ199" s="131">
        <f t="shared" si="259"/>
        <v>0</v>
      </c>
      <c r="CA199" s="131"/>
      <c r="CB199" s="136">
        <f t="shared" si="212"/>
        <v>160.55836672570746</v>
      </c>
      <c r="CC199" s="131">
        <f t="shared" si="213"/>
        <v>0</v>
      </c>
      <c r="CD199" s="136">
        <f t="shared" si="214"/>
        <v>0</v>
      </c>
      <c r="CE199" s="131">
        <f t="shared" si="262"/>
        <v>0</v>
      </c>
      <c r="CF199" s="136">
        <f t="shared" si="215"/>
        <v>0</v>
      </c>
      <c r="CG199" s="136"/>
      <c r="CH199" s="136">
        <f t="shared" si="261"/>
        <v>0</v>
      </c>
      <c r="CI199" s="131">
        <f t="shared" si="216"/>
        <v>0</v>
      </c>
      <c r="CJ199" s="131"/>
      <c r="CK199" s="136">
        <f t="shared" si="217"/>
        <v>0</v>
      </c>
      <c r="CL199" s="136">
        <f t="shared" si="218"/>
        <v>804.25411383551102</v>
      </c>
      <c r="CM199" s="131">
        <f t="shared" si="219"/>
        <v>0</v>
      </c>
      <c r="CN199" s="136">
        <f t="shared" si="220"/>
        <v>0</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f t="shared" si="226"/>
        <v>0</v>
      </c>
      <c r="DC199" s="131">
        <f t="shared" si="185"/>
        <v>0</v>
      </c>
      <c r="DD199" s="131">
        <f t="shared" si="227"/>
        <v>0</v>
      </c>
      <c r="DE199" s="131">
        <f t="shared" si="228"/>
        <v>0</v>
      </c>
      <c r="DF199" s="131">
        <f t="shared" si="229"/>
        <v>0</v>
      </c>
      <c r="DG199" s="131">
        <f t="shared" si="230"/>
        <v>0</v>
      </c>
      <c r="DH199" s="131"/>
      <c r="DI199" s="131"/>
      <c r="DJ199" s="131"/>
      <c r="DK199" s="137">
        <f t="shared" si="260"/>
        <v>4620.5129979953599</v>
      </c>
      <c r="DL199" s="227" t="e">
        <f t="shared" si="231"/>
        <v>#REF!</v>
      </c>
      <c r="DM199" s="227" t="e">
        <f t="shared" si="232"/>
        <v>#REF!</v>
      </c>
      <c r="DN199" s="228" t="e">
        <f t="shared" si="186"/>
        <v>#REF!</v>
      </c>
      <c r="DO199" s="228">
        <f t="shared" si="233"/>
        <v>194.35242757490622</v>
      </c>
      <c r="DP199" s="228" t="e">
        <f t="shared" si="234"/>
        <v>#REF!</v>
      </c>
      <c r="DQ199" s="228" t="e">
        <f t="shared" si="235"/>
        <v>#REF!</v>
      </c>
    </row>
    <row r="200" spans="1:121">
      <c r="A200" s="132">
        <f t="shared" si="265"/>
        <v>190</v>
      </c>
      <c r="B200" s="18">
        <f t="shared" si="236"/>
        <v>190</v>
      </c>
      <c r="C200" s="18">
        <f>IF(A200=0," ",VLOOKUP(B200,'tosafot '!$A$7:$B$234,2,0))</f>
        <v>10.202299999999999</v>
      </c>
      <c r="D200" s="220">
        <f t="shared" si="237"/>
        <v>228</v>
      </c>
      <c r="E200" s="130">
        <f t="shared" si="238"/>
        <v>12.2026</v>
      </c>
      <c r="F200" s="126">
        <f t="shared" si="239"/>
        <v>22</v>
      </c>
      <c r="G200" s="18" t="str">
        <f t="shared" si="240"/>
        <v>התחבורה</v>
      </c>
      <c r="H200" s="189">
        <f t="shared" si="241"/>
        <v>122</v>
      </c>
      <c r="I200" s="18">
        <f t="shared" si="242"/>
        <v>1</v>
      </c>
      <c r="J200" s="18" t="str">
        <f t="shared" si="243"/>
        <v>מינהלי - עובדי מדינה</v>
      </c>
      <c r="K200" s="189">
        <f t="shared" si="244"/>
        <v>1</v>
      </c>
      <c r="L200" s="18">
        <f t="shared" si="245"/>
        <v>12</v>
      </c>
      <c r="M200" s="129" t="str">
        <f t="shared" si="246"/>
        <v>17+</v>
      </c>
      <c r="N200" s="189"/>
      <c r="O200" s="132">
        <f t="shared" si="247"/>
        <v>1012</v>
      </c>
      <c r="P200" s="127">
        <f t="shared" si="248"/>
        <v>37</v>
      </c>
      <c r="Q200" s="127">
        <f t="shared" si="249"/>
        <v>36.75</v>
      </c>
      <c r="R200" s="128">
        <f t="shared" si="250"/>
        <v>148</v>
      </c>
      <c r="S200" s="130">
        <f t="shared" si="251"/>
        <v>1.4414995494685181</v>
      </c>
      <c r="T200" s="135">
        <f t="shared" si="188"/>
        <v>0</v>
      </c>
      <c r="U200" s="127">
        <f t="shared" si="189"/>
        <v>0</v>
      </c>
      <c r="V200" s="217">
        <v>0</v>
      </c>
      <c r="W200" s="191">
        <v>0</v>
      </c>
      <c r="X200" s="133">
        <v>0</v>
      </c>
      <c r="Y200" s="131">
        <f t="shared" si="190"/>
        <v>2438.5</v>
      </c>
      <c r="Z200" s="131">
        <f t="shared" si="191"/>
        <v>1076.5966513789815</v>
      </c>
      <c r="AA200" s="242">
        <f t="shared" si="192"/>
        <v>3515.0966513789817</v>
      </c>
      <c r="AB200" s="131">
        <f t="shared" si="193"/>
        <v>0</v>
      </c>
      <c r="AC200" s="131">
        <f t="shared" si="194"/>
        <v>140.60386605515927</v>
      </c>
      <c r="AD200" s="131">
        <f t="shared" si="195"/>
        <v>0</v>
      </c>
      <c r="AE200" s="131">
        <f t="shared" si="196"/>
        <v>0</v>
      </c>
      <c r="AF200" s="131">
        <f t="shared" si="197"/>
        <v>0</v>
      </c>
      <c r="AG200" s="131">
        <f t="shared" si="198"/>
        <v>0</v>
      </c>
      <c r="AH200" s="131">
        <f t="shared" si="199"/>
        <v>0</v>
      </c>
      <c r="AI200" s="131">
        <f t="shared" si="200"/>
        <v>0</v>
      </c>
      <c r="AJ200" s="131">
        <f t="shared" si="201"/>
        <v>0</v>
      </c>
      <c r="AK200" s="131"/>
      <c r="AL200" s="131">
        <f t="shared" si="202"/>
        <v>0</v>
      </c>
      <c r="AM200" s="131"/>
      <c r="AN200" s="243">
        <f t="shared" si="203"/>
        <v>0</v>
      </c>
      <c r="AO200" s="131">
        <f t="shared" si="204"/>
        <v>0</v>
      </c>
      <c r="AP200" s="131">
        <f t="shared" si="205"/>
        <v>0</v>
      </c>
      <c r="AQ200" s="131"/>
      <c r="AR200" s="131">
        <f t="shared" si="206"/>
        <v>0</v>
      </c>
      <c r="AS200" s="131">
        <f t="shared" si="252"/>
        <v>0</v>
      </c>
      <c r="AT200" s="131">
        <f t="shared" si="207"/>
        <v>0</v>
      </c>
      <c r="AU200" s="131">
        <f t="shared" si="208"/>
        <v>0</v>
      </c>
      <c r="AV200" s="131"/>
      <c r="AW200" s="131">
        <f t="shared" si="209"/>
        <v>0</v>
      </c>
      <c r="AX200" s="131">
        <f t="shared" si="263"/>
        <v>0</v>
      </c>
      <c r="AY200" s="131">
        <f t="shared" si="210"/>
        <v>0</v>
      </c>
      <c r="AZ200" s="131"/>
      <c r="BA200" s="131">
        <f t="shared" si="264"/>
        <v>0</v>
      </c>
      <c r="BB200" s="131"/>
      <c r="BC200" s="131"/>
      <c r="BD200" s="131">
        <f t="shared" si="211"/>
        <v>0</v>
      </c>
      <c r="BE200" s="131"/>
      <c r="BF200" s="131">
        <f t="shared" si="253"/>
        <v>0</v>
      </c>
      <c r="BG200" s="131">
        <f t="shared" si="254"/>
        <v>0</v>
      </c>
      <c r="BH200" s="131"/>
      <c r="BI200" s="131"/>
      <c r="BJ200" s="131"/>
      <c r="BK200" s="131">
        <f t="shared" si="255"/>
        <v>0</v>
      </c>
      <c r="BL200" s="131"/>
      <c r="BM200" s="131"/>
      <c r="BN200" s="131">
        <f t="shared" si="256"/>
        <v>0</v>
      </c>
      <c r="BO200" s="131"/>
      <c r="BP200" s="131">
        <f t="shared" si="257"/>
        <v>0</v>
      </c>
      <c r="BQ200" s="131"/>
      <c r="BR200" s="131"/>
      <c r="BS200" s="131"/>
      <c r="BT200" s="131"/>
      <c r="BU200" s="131"/>
      <c r="BV200" s="131">
        <f t="shared" si="258"/>
        <v>0</v>
      </c>
      <c r="BW200" s="131"/>
      <c r="BX200" s="131"/>
      <c r="BY200" s="131"/>
      <c r="BZ200" s="131">
        <f t="shared" si="259"/>
        <v>0</v>
      </c>
      <c r="CA200" s="131"/>
      <c r="CB200" s="136">
        <f t="shared" si="212"/>
        <v>160.55836672570746</v>
      </c>
      <c r="CC200" s="131">
        <f t="shared" si="213"/>
        <v>0</v>
      </c>
      <c r="CD200" s="136">
        <f t="shared" si="214"/>
        <v>0</v>
      </c>
      <c r="CE200" s="131">
        <f t="shared" si="262"/>
        <v>0</v>
      </c>
      <c r="CF200" s="136">
        <f t="shared" si="215"/>
        <v>0</v>
      </c>
      <c r="CG200" s="136"/>
      <c r="CH200" s="136">
        <f t="shared" si="261"/>
        <v>0</v>
      </c>
      <c r="CI200" s="131">
        <f t="shared" si="216"/>
        <v>0</v>
      </c>
      <c r="CJ200" s="131"/>
      <c r="CK200" s="136">
        <f t="shared" si="217"/>
        <v>0</v>
      </c>
      <c r="CL200" s="136">
        <f t="shared" si="218"/>
        <v>804.25411383551102</v>
      </c>
      <c r="CM200" s="131">
        <f t="shared" si="219"/>
        <v>0</v>
      </c>
      <c r="CN200" s="136">
        <f t="shared" si="220"/>
        <v>0</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f t="shared" si="226"/>
        <v>0</v>
      </c>
      <c r="DC200" s="131">
        <f t="shared" si="185"/>
        <v>0</v>
      </c>
      <c r="DD200" s="131">
        <f t="shared" si="227"/>
        <v>0</v>
      </c>
      <c r="DE200" s="131">
        <f t="shared" si="228"/>
        <v>0</v>
      </c>
      <c r="DF200" s="131">
        <f t="shared" si="229"/>
        <v>0</v>
      </c>
      <c r="DG200" s="131">
        <f t="shared" si="230"/>
        <v>0</v>
      </c>
      <c r="DH200" s="131"/>
      <c r="DI200" s="131"/>
      <c r="DJ200" s="131"/>
      <c r="DK200" s="137">
        <f t="shared" si="260"/>
        <v>4620.5129979953599</v>
      </c>
      <c r="DL200" s="227" t="e">
        <f t="shared" si="231"/>
        <v>#REF!</v>
      </c>
      <c r="DM200" s="227" t="e">
        <f t="shared" si="232"/>
        <v>#REF!</v>
      </c>
      <c r="DN200" s="228" t="e">
        <f t="shared" si="186"/>
        <v>#REF!</v>
      </c>
      <c r="DO200" s="228">
        <f t="shared" si="233"/>
        <v>194.35242757490622</v>
      </c>
      <c r="DP200" s="228" t="e">
        <f t="shared" si="234"/>
        <v>#REF!</v>
      </c>
      <c r="DQ200" s="228" t="e">
        <f t="shared" si="235"/>
        <v>#REF!</v>
      </c>
    </row>
    <row r="201" spans="1:121">
      <c r="A201" s="132">
        <f t="shared" si="265"/>
        <v>191</v>
      </c>
      <c r="B201" s="18">
        <f t="shared" si="236"/>
        <v>191</v>
      </c>
      <c r="C201" s="18">
        <f>IF(A201=0," ",VLOOKUP(B201,'tosafot '!$A$7:$B$234,2,0))</f>
        <v>11.202299999999999</v>
      </c>
      <c r="D201" s="220">
        <f t="shared" si="237"/>
        <v>228</v>
      </c>
      <c r="E201" s="130">
        <f t="shared" si="238"/>
        <v>12.2026</v>
      </c>
      <c r="F201" s="126">
        <f t="shared" si="239"/>
        <v>22</v>
      </c>
      <c r="G201" s="18" t="str">
        <f t="shared" si="240"/>
        <v>התחבורה</v>
      </c>
      <c r="H201" s="189">
        <f t="shared" si="241"/>
        <v>122</v>
      </c>
      <c r="I201" s="18">
        <f t="shared" si="242"/>
        <v>1</v>
      </c>
      <c r="J201" s="18" t="str">
        <f t="shared" si="243"/>
        <v>מינהלי - עובדי מדינה</v>
      </c>
      <c r="K201" s="189">
        <f t="shared" si="244"/>
        <v>1</v>
      </c>
      <c r="L201" s="18">
        <f t="shared" si="245"/>
        <v>12</v>
      </c>
      <c r="M201" s="129" t="str">
        <f t="shared" si="246"/>
        <v>17+</v>
      </c>
      <c r="N201" s="189"/>
      <c r="O201" s="132">
        <f t="shared" si="247"/>
        <v>1012</v>
      </c>
      <c r="P201" s="127">
        <f t="shared" si="248"/>
        <v>37</v>
      </c>
      <c r="Q201" s="127">
        <f t="shared" si="249"/>
        <v>36.75</v>
      </c>
      <c r="R201" s="128">
        <f t="shared" si="250"/>
        <v>148</v>
      </c>
      <c r="S201" s="130">
        <f t="shared" si="251"/>
        <v>1.4414995494685181</v>
      </c>
      <c r="T201" s="135">
        <f t="shared" si="188"/>
        <v>0</v>
      </c>
      <c r="U201" s="127">
        <f t="shared" si="189"/>
        <v>0</v>
      </c>
      <c r="V201" s="217">
        <v>0</v>
      </c>
      <c r="W201" s="191">
        <v>0</v>
      </c>
      <c r="X201" s="133">
        <v>0</v>
      </c>
      <c r="Y201" s="131">
        <f t="shared" si="190"/>
        <v>2438.5</v>
      </c>
      <c r="Z201" s="131">
        <f t="shared" si="191"/>
        <v>1076.5966513789815</v>
      </c>
      <c r="AA201" s="242">
        <f t="shared" si="192"/>
        <v>3515.0966513789817</v>
      </c>
      <c r="AB201" s="131">
        <f t="shared" si="193"/>
        <v>0</v>
      </c>
      <c r="AC201" s="131">
        <f t="shared" si="194"/>
        <v>140.60386605515927</v>
      </c>
      <c r="AD201" s="131">
        <f t="shared" si="195"/>
        <v>0</v>
      </c>
      <c r="AE201" s="131">
        <f t="shared" si="196"/>
        <v>0</v>
      </c>
      <c r="AF201" s="131">
        <f t="shared" si="197"/>
        <v>0</v>
      </c>
      <c r="AG201" s="131">
        <f t="shared" si="198"/>
        <v>0</v>
      </c>
      <c r="AH201" s="131">
        <f t="shared" si="199"/>
        <v>0</v>
      </c>
      <c r="AI201" s="131">
        <f t="shared" si="200"/>
        <v>0</v>
      </c>
      <c r="AJ201" s="131">
        <f t="shared" si="201"/>
        <v>0</v>
      </c>
      <c r="AK201" s="131"/>
      <c r="AL201" s="131">
        <f t="shared" si="202"/>
        <v>0</v>
      </c>
      <c r="AM201" s="131"/>
      <c r="AN201" s="243">
        <f t="shared" si="203"/>
        <v>0</v>
      </c>
      <c r="AO201" s="131">
        <f t="shared" si="204"/>
        <v>0</v>
      </c>
      <c r="AP201" s="131">
        <f t="shared" si="205"/>
        <v>0</v>
      </c>
      <c r="AQ201" s="131"/>
      <c r="AR201" s="131">
        <f t="shared" si="206"/>
        <v>0</v>
      </c>
      <c r="AS201" s="131">
        <f t="shared" si="252"/>
        <v>0</v>
      </c>
      <c r="AT201" s="131">
        <f t="shared" si="207"/>
        <v>0</v>
      </c>
      <c r="AU201" s="131">
        <f t="shared" si="208"/>
        <v>0</v>
      </c>
      <c r="AV201" s="131"/>
      <c r="AW201" s="131">
        <f t="shared" si="209"/>
        <v>0</v>
      </c>
      <c r="AX201" s="131">
        <f t="shared" si="263"/>
        <v>0</v>
      </c>
      <c r="AY201" s="131">
        <f t="shared" si="210"/>
        <v>0</v>
      </c>
      <c r="AZ201" s="131"/>
      <c r="BA201" s="131">
        <f t="shared" si="264"/>
        <v>0</v>
      </c>
      <c r="BB201" s="131"/>
      <c r="BC201" s="131"/>
      <c r="BD201" s="131">
        <f t="shared" si="211"/>
        <v>0</v>
      </c>
      <c r="BE201" s="131"/>
      <c r="BF201" s="131">
        <f t="shared" si="253"/>
        <v>0</v>
      </c>
      <c r="BG201" s="131">
        <f t="shared" si="254"/>
        <v>0</v>
      </c>
      <c r="BH201" s="131"/>
      <c r="BI201" s="131"/>
      <c r="BJ201" s="131"/>
      <c r="BK201" s="131">
        <f t="shared" si="255"/>
        <v>0</v>
      </c>
      <c r="BL201" s="131"/>
      <c r="BM201" s="131"/>
      <c r="BN201" s="131">
        <f t="shared" si="256"/>
        <v>0</v>
      </c>
      <c r="BO201" s="131"/>
      <c r="BP201" s="131">
        <f t="shared" si="257"/>
        <v>0</v>
      </c>
      <c r="BQ201" s="131"/>
      <c r="BR201" s="131"/>
      <c r="BS201" s="131"/>
      <c r="BT201" s="131"/>
      <c r="BU201" s="131"/>
      <c r="BV201" s="131">
        <f t="shared" si="258"/>
        <v>0</v>
      </c>
      <c r="BW201" s="131"/>
      <c r="BX201" s="131"/>
      <c r="BY201" s="131"/>
      <c r="BZ201" s="131">
        <f t="shared" si="259"/>
        <v>0</v>
      </c>
      <c r="CA201" s="131"/>
      <c r="CB201" s="136">
        <f t="shared" si="212"/>
        <v>160.55836672570746</v>
      </c>
      <c r="CC201" s="131">
        <f t="shared" si="213"/>
        <v>0</v>
      </c>
      <c r="CD201" s="136">
        <f t="shared" si="214"/>
        <v>0</v>
      </c>
      <c r="CE201" s="131">
        <f t="shared" si="262"/>
        <v>0</v>
      </c>
      <c r="CF201" s="136">
        <f t="shared" si="215"/>
        <v>0</v>
      </c>
      <c r="CG201" s="136"/>
      <c r="CH201" s="136">
        <f t="shared" si="261"/>
        <v>0</v>
      </c>
      <c r="CI201" s="131">
        <f t="shared" si="216"/>
        <v>0</v>
      </c>
      <c r="CJ201" s="131"/>
      <c r="CK201" s="136">
        <f t="shared" si="217"/>
        <v>0</v>
      </c>
      <c r="CL201" s="136">
        <f t="shared" si="218"/>
        <v>804.25411383551102</v>
      </c>
      <c r="CM201" s="131">
        <f t="shared" si="219"/>
        <v>0</v>
      </c>
      <c r="CN201" s="136">
        <f t="shared" si="220"/>
        <v>0</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f t="shared" si="226"/>
        <v>0</v>
      </c>
      <c r="DC201" s="131">
        <f t="shared" si="185"/>
        <v>0</v>
      </c>
      <c r="DD201" s="131">
        <f t="shared" si="227"/>
        <v>0</v>
      </c>
      <c r="DE201" s="131">
        <f t="shared" si="228"/>
        <v>0</v>
      </c>
      <c r="DF201" s="131">
        <f t="shared" si="229"/>
        <v>0</v>
      </c>
      <c r="DG201" s="131">
        <f t="shared" si="230"/>
        <v>0</v>
      </c>
      <c r="DH201" s="131"/>
      <c r="DI201" s="131"/>
      <c r="DJ201" s="131"/>
      <c r="DK201" s="137">
        <f t="shared" si="260"/>
        <v>4620.5129979953599</v>
      </c>
      <c r="DL201" s="227" t="e">
        <f t="shared" si="231"/>
        <v>#REF!</v>
      </c>
      <c r="DM201" s="227" t="e">
        <f t="shared" si="232"/>
        <v>#REF!</v>
      </c>
      <c r="DN201" s="228" t="e">
        <f t="shared" si="186"/>
        <v>#REF!</v>
      </c>
      <c r="DO201" s="228">
        <f t="shared" si="233"/>
        <v>194.35242757490622</v>
      </c>
      <c r="DP201" s="228" t="e">
        <f t="shared" si="234"/>
        <v>#REF!</v>
      </c>
      <c r="DQ201" s="228" t="e">
        <f t="shared" si="235"/>
        <v>#REF!</v>
      </c>
    </row>
    <row r="202" spans="1:121">
      <c r="A202" s="132">
        <f t="shared" si="265"/>
        <v>192</v>
      </c>
      <c r="B202" s="18">
        <f t="shared" si="236"/>
        <v>192</v>
      </c>
      <c r="C202" s="18">
        <f>IF(A202=0," ",VLOOKUP(B202,'tosafot '!$A$7:$B$234,2,0))</f>
        <v>12.202299999999999</v>
      </c>
      <c r="D202" s="220">
        <f t="shared" si="237"/>
        <v>228</v>
      </c>
      <c r="E202" s="130">
        <f t="shared" si="238"/>
        <v>12.2026</v>
      </c>
      <c r="F202" s="126">
        <f t="shared" si="239"/>
        <v>22</v>
      </c>
      <c r="G202" s="18" t="str">
        <f t="shared" si="240"/>
        <v>התחבורה</v>
      </c>
      <c r="H202" s="189">
        <f t="shared" si="241"/>
        <v>122</v>
      </c>
      <c r="I202" s="18">
        <f t="shared" si="242"/>
        <v>1</v>
      </c>
      <c r="J202" s="18" t="str">
        <f t="shared" si="243"/>
        <v>מינהלי - עובדי מדינה</v>
      </c>
      <c r="K202" s="189">
        <f t="shared" si="244"/>
        <v>1</v>
      </c>
      <c r="L202" s="18">
        <f t="shared" si="245"/>
        <v>12</v>
      </c>
      <c r="M202" s="129" t="str">
        <f t="shared" si="246"/>
        <v>17+</v>
      </c>
      <c r="N202" s="189"/>
      <c r="O202" s="132">
        <f t="shared" si="247"/>
        <v>1012</v>
      </c>
      <c r="P202" s="127">
        <f t="shared" si="248"/>
        <v>37</v>
      </c>
      <c r="Q202" s="127">
        <f t="shared" si="249"/>
        <v>36.75</v>
      </c>
      <c r="R202" s="128">
        <f t="shared" si="250"/>
        <v>148</v>
      </c>
      <c r="S202" s="130">
        <f t="shared" si="251"/>
        <v>1.4414995494685181</v>
      </c>
      <c r="T202" s="135">
        <f t="shared" si="188"/>
        <v>0</v>
      </c>
      <c r="U202" s="127">
        <f t="shared" si="189"/>
        <v>0</v>
      </c>
      <c r="V202" s="217">
        <v>0</v>
      </c>
      <c r="W202" s="191">
        <v>0</v>
      </c>
      <c r="X202" s="133">
        <v>0</v>
      </c>
      <c r="Y202" s="131">
        <f t="shared" si="190"/>
        <v>2438.5</v>
      </c>
      <c r="Z202" s="131">
        <f t="shared" si="191"/>
        <v>1076.5966513789815</v>
      </c>
      <c r="AA202" s="242">
        <f t="shared" si="192"/>
        <v>3515.0966513789817</v>
      </c>
      <c r="AB202" s="131">
        <f t="shared" si="193"/>
        <v>0</v>
      </c>
      <c r="AC202" s="131">
        <f t="shared" si="194"/>
        <v>140.60386605515927</v>
      </c>
      <c r="AD202" s="131">
        <f t="shared" si="195"/>
        <v>0</v>
      </c>
      <c r="AE202" s="131">
        <f t="shared" si="196"/>
        <v>0</v>
      </c>
      <c r="AF202" s="131">
        <f t="shared" si="197"/>
        <v>0</v>
      </c>
      <c r="AG202" s="131">
        <f t="shared" si="198"/>
        <v>0</v>
      </c>
      <c r="AH202" s="131">
        <f t="shared" si="199"/>
        <v>0</v>
      </c>
      <c r="AI202" s="131">
        <f t="shared" si="200"/>
        <v>0</v>
      </c>
      <c r="AJ202" s="131">
        <f t="shared" si="201"/>
        <v>0</v>
      </c>
      <c r="AK202" s="131"/>
      <c r="AL202" s="131">
        <f t="shared" si="202"/>
        <v>0</v>
      </c>
      <c r="AM202" s="131"/>
      <c r="AN202" s="243">
        <f t="shared" si="203"/>
        <v>0</v>
      </c>
      <c r="AO202" s="131">
        <f t="shared" si="204"/>
        <v>0</v>
      </c>
      <c r="AP202" s="131">
        <f t="shared" si="205"/>
        <v>0</v>
      </c>
      <c r="AQ202" s="131"/>
      <c r="AR202" s="131">
        <f t="shared" si="206"/>
        <v>0</v>
      </c>
      <c r="AS202" s="131">
        <f t="shared" si="252"/>
        <v>0</v>
      </c>
      <c r="AT202" s="131">
        <f t="shared" si="207"/>
        <v>0</v>
      </c>
      <c r="AU202" s="131">
        <f t="shared" si="208"/>
        <v>0</v>
      </c>
      <c r="AV202" s="131"/>
      <c r="AW202" s="131">
        <f t="shared" si="209"/>
        <v>0</v>
      </c>
      <c r="AX202" s="131">
        <f t="shared" si="263"/>
        <v>0</v>
      </c>
      <c r="AY202" s="131">
        <f t="shared" si="210"/>
        <v>0</v>
      </c>
      <c r="AZ202" s="131"/>
      <c r="BA202" s="131">
        <f t="shared" si="264"/>
        <v>0</v>
      </c>
      <c r="BB202" s="131"/>
      <c r="BC202" s="131"/>
      <c r="BD202" s="131">
        <f t="shared" si="211"/>
        <v>0</v>
      </c>
      <c r="BE202" s="131"/>
      <c r="BF202" s="131">
        <f t="shared" si="253"/>
        <v>0</v>
      </c>
      <c r="BG202" s="131">
        <f t="shared" si="254"/>
        <v>0</v>
      </c>
      <c r="BH202" s="131"/>
      <c r="BI202" s="131"/>
      <c r="BJ202" s="131"/>
      <c r="BK202" s="131">
        <f t="shared" si="255"/>
        <v>0</v>
      </c>
      <c r="BL202" s="131"/>
      <c r="BM202" s="131"/>
      <c r="BN202" s="131">
        <f t="shared" si="256"/>
        <v>0</v>
      </c>
      <c r="BO202" s="131"/>
      <c r="BP202" s="131">
        <f t="shared" si="257"/>
        <v>0</v>
      </c>
      <c r="BQ202" s="131"/>
      <c r="BR202" s="131"/>
      <c r="BS202" s="131"/>
      <c r="BT202" s="131"/>
      <c r="BU202" s="131"/>
      <c r="BV202" s="131">
        <f t="shared" si="258"/>
        <v>0</v>
      </c>
      <c r="BW202" s="131"/>
      <c r="BX202" s="131"/>
      <c r="BY202" s="131"/>
      <c r="BZ202" s="131">
        <f t="shared" si="259"/>
        <v>0</v>
      </c>
      <c r="CA202" s="131"/>
      <c r="CB202" s="136">
        <f t="shared" si="212"/>
        <v>160.55836672570746</v>
      </c>
      <c r="CC202" s="131">
        <f t="shared" si="213"/>
        <v>0</v>
      </c>
      <c r="CD202" s="136">
        <f t="shared" si="214"/>
        <v>0</v>
      </c>
      <c r="CE202" s="131">
        <f t="shared" si="262"/>
        <v>0</v>
      </c>
      <c r="CF202" s="136">
        <f t="shared" si="215"/>
        <v>0</v>
      </c>
      <c r="CG202" s="136"/>
      <c r="CH202" s="136">
        <f t="shared" si="261"/>
        <v>0</v>
      </c>
      <c r="CI202" s="131">
        <f t="shared" si="216"/>
        <v>0</v>
      </c>
      <c r="CJ202" s="131"/>
      <c r="CK202" s="136">
        <f t="shared" si="217"/>
        <v>0</v>
      </c>
      <c r="CL202" s="136">
        <f t="shared" si="218"/>
        <v>804.25411383551102</v>
      </c>
      <c r="CM202" s="131">
        <f t="shared" si="219"/>
        <v>0</v>
      </c>
      <c r="CN202" s="136">
        <f t="shared" si="220"/>
        <v>0</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f t="shared" si="226"/>
        <v>0</v>
      </c>
      <c r="DC202" s="131">
        <f t="shared" si="185"/>
        <v>0</v>
      </c>
      <c r="DD202" s="131">
        <f t="shared" si="227"/>
        <v>0</v>
      </c>
      <c r="DE202" s="131">
        <f t="shared" si="228"/>
        <v>0</v>
      </c>
      <c r="DF202" s="131">
        <f t="shared" si="229"/>
        <v>0</v>
      </c>
      <c r="DG202" s="131">
        <f t="shared" si="230"/>
        <v>0</v>
      </c>
      <c r="DH202" s="131"/>
      <c r="DI202" s="131"/>
      <c r="DJ202" s="131"/>
      <c r="DK202" s="137">
        <f t="shared" si="260"/>
        <v>4620.5129979953599</v>
      </c>
      <c r="DL202" s="227" t="e">
        <f t="shared" si="231"/>
        <v>#REF!</v>
      </c>
      <c r="DM202" s="227" t="e">
        <f t="shared" si="232"/>
        <v>#REF!</v>
      </c>
      <c r="DN202" s="228" t="e">
        <f t="shared" si="186"/>
        <v>#REF!</v>
      </c>
      <c r="DO202" s="228">
        <f t="shared" si="233"/>
        <v>194.35242757490622</v>
      </c>
      <c r="DP202" s="228" t="e">
        <f t="shared" si="234"/>
        <v>#REF!</v>
      </c>
      <c r="DQ202" s="228" t="e">
        <f t="shared" si="235"/>
        <v>#REF!</v>
      </c>
    </row>
    <row r="203" spans="1:121">
      <c r="A203" s="132">
        <f t="shared" si="265"/>
        <v>193</v>
      </c>
      <c r="B203" s="18">
        <f t="shared" si="236"/>
        <v>193</v>
      </c>
      <c r="C203" s="18">
        <f>IF(A203=0," ",VLOOKUP(B203,'tosafot '!$A$7:$B$234,2,0))</f>
        <v>1.2023999999999999</v>
      </c>
      <c r="D203" s="220">
        <f t="shared" si="237"/>
        <v>228</v>
      </c>
      <c r="E203" s="130">
        <f t="shared" si="238"/>
        <v>12.2026</v>
      </c>
      <c r="F203" s="126">
        <f t="shared" si="239"/>
        <v>22</v>
      </c>
      <c r="G203" s="18" t="str">
        <f t="shared" si="240"/>
        <v>התחבורה</v>
      </c>
      <c r="H203" s="189">
        <f t="shared" si="241"/>
        <v>122</v>
      </c>
      <c r="I203" s="18">
        <f t="shared" si="242"/>
        <v>1</v>
      </c>
      <c r="J203" s="18" t="str">
        <f t="shared" si="243"/>
        <v>מינהלי - עובדי מדינה</v>
      </c>
      <c r="K203" s="189">
        <f t="shared" si="244"/>
        <v>1</v>
      </c>
      <c r="L203" s="18">
        <f t="shared" si="245"/>
        <v>12</v>
      </c>
      <c r="M203" s="129" t="str">
        <f t="shared" si="246"/>
        <v>17+</v>
      </c>
      <c r="N203" s="189"/>
      <c r="O203" s="132">
        <f t="shared" si="247"/>
        <v>1012</v>
      </c>
      <c r="P203" s="127">
        <f t="shared" si="248"/>
        <v>37</v>
      </c>
      <c r="Q203" s="127">
        <f t="shared" si="249"/>
        <v>36.75</v>
      </c>
      <c r="R203" s="128">
        <f t="shared" si="250"/>
        <v>148</v>
      </c>
      <c r="S203" s="130">
        <f t="shared" si="251"/>
        <v>1.4414995494685181</v>
      </c>
      <c r="T203" s="135">
        <f t="shared" si="188"/>
        <v>0</v>
      </c>
      <c r="U203" s="127">
        <f t="shared" si="189"/>
        <v>0</v>
      </c>
      <c r="V203" s="217">
        <v>0</v>
      </c>
      <c r="W203" s="191">
        <v>0</v>
      </c>
      <c r="X203" s="133">
        <v>0</v>
      </c>
      <c r="Y203" s="131">
        <f t="shared" si="190"/>
        <v>2438.5</v>
      </c>
      <c r="Z203" s="131">
        <f t="shared" si="191"/>
        <v>1076.5966513789815</v>
      </c>
      <c r="AA203" s="242">
        <f t="shared" si="192"/>
        <v>3515.0966513789817</v>
      </c>
      <c r="AB203" s="131">
        <f t="shared" si="193"/>
        <v>0</v>
      </c>
      <c r="AC203" s="131">
        <f t="shared" si="194"/>
        <v>140.60386605515927</v>
      </c>
      <c r="AD203" s="131">
        <f t="shared" si="195"/>
        <v>0</v>
      </c>
      <c r="AE203" s="131">
        <f t="shared" si="196"/>
        <v>0</v>
      </c>
      <c r="AF203" s="131">
        <f t="shared" si="197"/>
        <v>0</v>
      </c>
      <c r="AG203" s="131">
        <f t="shared" si="198"/>
        <v>0</v>
      </c>
      <c r="AH203" s="131">
        <f t="shared" si="199"/>
        <v>0</v>
      </c>
      <c r="AI203" s="131">
        <f t="shared" si="200"/>
        <v>0</v>
      </c>
      <c r="AJ203" s="131">
        <f t="shared" si="201"/>
        <v>0</v>
      </c>
      <c r="AK203" s="131"/>
      <c r="AL203" s="131">
        <f t="shared" si="202"/>
        <v>0</v>
      </c>
      <c r="AM203" s="131"/>
      <c r="AN203" s="243">
        <f t="shared" si="203"/>
        <v>0</v>
      </c>
      <c r="AO203" s="131">
        <f t="shared" si="204"/>
        <v>0</v>
      </c>
      <c r="AP203" s="131">
        <f t="shared" si="205"/>
        <v>0</v>
      </c>
      <c r="AQ203" s="131"/>
      <c r="AR203" s="131">
        <f t="shared" si="206"/>
        <v>0</v>
      </c>
      <c r="AS203" s="131">
        <f t="shared" si="252"/>
        <v>0</v>
      </c>
      <c r="AT203" s="131">
        <f t="shared" si="207"/>
        <v>0</v>
      </c>
      <c r="AU203" s="131">
        <f t="shared" si="208"/>
        <v>0</v>
      </c>
      <c r="AV203" s="131"/>
      <c r="AW203" s="131">
        <f t="shared" si="209"/>
        <v>0</v>
      </c>
      <c r="AX203" s="131">
        <f t="shared" si="263"/>
        <v>0</v>
      </c>
      <c r="AY203" s="131">
        <f t="shared" si="210"/>
        <v>0</v>
      </c>
      <c r="AZ203" s="131"/>
      <c r="BA203" s="131">
        <f t="shared" si="264"/>
        <v>0</v>
      </c>
      <c r="BB203" s="131"/>
      <c r="BC203" s="131"/>
      <c r="BD203" s="131">
        <f t="shared" si="211"/>
        <v>0</v>
      </c>
      <c r="BE203" s="131"/>
      <c r="BF203" s="131">
        <f t="shared" si="253"/>
        <v>0</v>
      </c>
      <c r="BG203" s="131">
        <f t="shared" si="254"/>
        <v>0</v>
      </c>
      <c r="BH203" s="131"/>
      <c r="BI203" s="131"/>
      <c r="BJ203" s="131"/>
      <c r="BK203" s="131">
        <f t="shared" si="255"/>
        <v>0</v>
      </c>
      <c r="BL203" s="131"/>
      <c r="BM203" s="131"/>
      <c r="BN203" s="131">
        <f t="shared" si="256"/>
        <v>0</v>
      </c>
      <c r="BO203" s="131"/>
      <c r="BP203" s="131">
        <f t="shared" si="257"/>
        <v>0</v>
      </c>
      <c r="BQ203" s="131"/>
      <c r="BR203" s="131"/>
      <c r="BS203" s="131"/>
      <c r="BT203" s="131"/>
      <c r="BU203" s="131"/>
      <c r="BV203" s="131">
        <f t="shared" si="258"/>
        <v>0</v>
      </c>
      <c r="BW203" s="131"/>
      <c r="BX203" s="131"/>
      <c r="BY203" s="131"/>
      <c r="BZ203" s="131">
        <f t="shared" si="259"/>
        <v>0</v>
      </c>
      <c r="CA203" s="131"/>
      <c r="CB203" s="136">
        <f t="shared" si="212"/>
        <v>160.55836672570746</v>
      </c>
      <c r="CC203" s="131">
        <f t="shared" si="213"/>
        <v>0</v>
      </c>
      <c r="CD203" s="136">
        <f t="shared" si="214"/>
        <v>0</v>
      </c>
      <c r="CE203" s="131">
        <f t="shared" si="262"/>
        <v>0</v>
      </c>
      <c r="CF203" s="136">
        <f t="shared" si="215"/>
        <v>0</v>
      </c>
      <c r="CG203" s="136"/>
      <c r="CH203" s="136">
        <f t="shared" si="261"/>
        <v>0</v>
      </c>
      <c r="CI203" s="131">
        <f t="shared" si="216"/>
        <v>0</v>
      </c>
      <c r="CJ203" s="131"/>
      <c r="CK203" s="136">
        <f t="shared" si="217"/>
        <v>0</v>
      </c>
      <c r="CL203" s="136">
        <f t="shared" si="218"/>
        <v>804.25411383551102</v>
      </c>
      <c r="CM203" s="131">
        <f t="shared" si="219"/>
        <v>0</v>
      </c>
      <c r="CN203" s="136">
        <f t="shared" si="220"/>
        <v>0</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f t="shared" si="226"/>
        <v>0</v>
      </c>
      <c r="DC203" s="131">
        <f t="shared" ref="DC203:DC226" si="266">IF(A203=0," ",+U203)</f>
        <v>0</v>
      </c>
      <c r="DD203" s="131">
        <f t="shared" si="227"/>
        <v>0</v>
      </c>
      <c r="DE203" s="131">
        <f t="shared" si="228"/>
        <v>0</v>
      </c>
      <c r="DF203" s="131">
        <f t="shared" si="229"/>
        <v>0</v>
      </c>
      <c r="DG203" s="131">
        <f t="shared" si="230"/>
        <v>0</v>
      </c>
      <c r="DH203" s="131"/>
      <c r="DI203" s="131"/>
      <c r="DJ203" s="131"/>
      <c r="DK203" s="137">
        <f t="shared" si="260"/>
        <v>4620.5129979953599</v>
      </c>
      <c r="DL203" s="227" t="e">
        <f t="shared" si="231"/>
        <v>#REF!</v>
      </c>
      <c r="DM203" s="227" t="e">
        <f t="shared" si="232"/>
        <v>#REF!</v>
      </c>
      <c r="DN203" s="228" t="e">
        <f t="shared" ref="DN203:DN226" si="267">IF(A203=0," ",+DK203*DL203*DM203)</f>
        <v>#REF!</v>
      </c>
      <c r="DO203" s="228">
        <f t="shared" si="233"/>
        <v>194.35242757490622</v>
      </c>
      <c r="DP203" s="228" t="e">
        <f t="shared" si="234"/>
        <v>#REF!</v>
      </c>
      <c r="DQ203" s="228" t="e">
        <f t="shared" si="235"/>
        <v>#REF!</v>
      </c>
    </row>
    <row r="204" spans="1:121">
      <c r="A204" s="132">
        <f t="shared" si="265"/>
        <v>194</v>
      </c>
      <c r="B204" s="18">
        <f t="shared" si="236"/>
        <v>194</v>
      </c>
      <c r="C204" s="18">
        <f>IF(A204=0," ",VLOOKUP(B204,'tosafot '!$A$7:$B$234,2,0))</f>
        <v>2.2023999999999999</v>
      </c>
      <c r="D204" s="220">
        <f t="shared" si="237"/>
        <v>228</v>
      </c>
      <c r="E204" s="130">
        <f t="shared" si="238"/>
        <v>12.2026</v>
      </c>
      <c r="F204" s="126">
        <f t="shared" si="239"/>
        <v>22</v>
      </c>
      <c r="G204" s="18" t="str">
        <f t="shared" si="240"/>
        <v>התחבורה</v>
      </c>
      <c r="H204" s="189">
        <f t="shared" si="241"/>
        <v>122</v>
      </c>
      <c r="I204" s="18">
        <f t="shared" si="242"/>
        <v>1</v>
      </c>
      <c r="J204" s="18" t="str">
        <f t="shared" si="243"/>
        <v>מינהלי - עובדי מדינה</v>
      </c>
      <c r="K204" s="189">
        <f t="shared" si="244"/>
        <v>1</v>
      </c>
      <c r="L204" s="18">
        <f t="shared" si="245"/>
        <v>12</v>
      </c>
      <c r="M204" s="129" t="str">
        <f t="shared" si="246"/>
        <v>17+</v>
      </c>
      <c r="N204" s="189"/>
      <c r="O204" s="132">
        <f t="shared" si="247"/>
        <v>1012</v>
      </c>
      <c r="P204" s="127">
        <f t="shared" si="248"/>
        <v>37</v>
      </c>
      <c r="Q204" s="127">
        <f t="shared" si="249"/>
        <v>36.75</v>
      </c>
      <c r="R204" s="128">
        <f t="shared" si="250"/>
        <v>148</v>
      </c>
      <c r="S204" s="130">
        <f t="shared" si="251"/>
        <v>1.4414995494685181</v>
      </c>
      <c r="T204" s="135">
        <f t="shared" ref="T204:T226" si="268">IF(A204=0," ",+T203)</f>
        <v>0</v>
      </c>
      <c r="U204" s="127">
        <f t="shared" ref="U204:U226" si="269">IF(A204=0," ",+U203)</f>
        <v>0</v>
      </c>
      <c r="V204" s="217">
        <v>0</v>
      </c>
      <c r="W204" s="191">
        <v>0</v>
      </c>
      <c r="X204" s="133">
        <v>0</v>
      </c>
      <c r="Y204" s="131">
        <f t="shared" ref="Y204:Y226" si="270">IF(A204=0," ",+Y203)</f>
        <v>2438.5</v>
      </c>
      <c r="Z204" s="131">
        <f t="shared" ref="Z204:Z226" si="271">IF(A204=0," ",+Z203)</f>
        <v>1076.5966513789815</v>
      </c>
      <c r="AA204" s="242">
        <f t="shared" ref="AA204:AA226" si="272">IF(A204=0," ",AA203)</f>
        <v>3515.0966513789817</v>
      </c>
      <c r="AB204" s="131">
        <f t="shared" ref="AB204:AB226" si="273">IF(A204=0," ",AB203)</f>
        <v>0</v>
      </c>
      <c r="AC204" s="131">
        <f t="shared" ref="AC204:AC226" si="274">IF(A204=0," ",AC203)</f>
        <v>140.60386605515927</v>
      </c>
      <c r="AD204" s="131">
        <f t="shared" ref="AD204:AD226" si="275">IF(A204=0," ",AD203)</f>
        <v>0</v>
      </c>
      <c r="AE204" s="131">
        <f t="shared" ref="AE204:AE226" si="276">IF(A204=0," ",AE203)</f>
        <v>0</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f t="shared" ref="AN204:AN226" si="283">IF(A204=0," ",AN203)</f>
        <v>0</v>
      </c>
      <c r="AO204" s="131">
        <f t="shared" ref="AO204:AO226" si="284">IF(A204=0," ",AO203)</f>
        <v>0</v>
      </c>
      <c r="AP204" s="131">
        <f t="shared" ref="AP204:AP226" si="285">IF(A204=0," ",AP203)</f>
        <v>0</v>
      </c>
      <c r="AQ204" s="131"/>
      <c r="AR204" s="131">
        <f t="shared" ref="AR204:AR226" si="286">IF(A204=0," ",AR203)</f>
        <v>0</v>
      </c>
      <c r="AS204" s="131">
        <f t="shared" si="252"/>
        <v>0</v>
      </c>
      <c r="AT204" s="131">
        <f t="shared" ref="AT204:AT226" si="287">IF(A204=0," ",AT203)</f>
        <v>0</v>
      </c>
      <c r="AU204" s="131">
        <f t="shared" ref="AU204:AU226" si="288">IF(A204=0," ",AU203)</f>
        <v>0</v>
      </c>
      <c r="AV204" s="131"/>
      <c r="AW204" s="131">
        <f t="shared" ref="AW204:AW226" si="289">IF(A204=0," ",AW203)</f>
        <v>0</v>
      </c>
      <c r="AX204" s="131">
        <f t="shared" si="263"/>
        <v>0</v>
      </c>
      <c r="AY204" s="131">
        <f t="shared" ref="AY204:AY226" si="290">IF(A204=0," ",AY203)</f>
        <v>0</v>
      </c>
      <c r="AZ204" s="131"/>
      <c r="BA204" s="131">
        <f t="shared" si="264"/>
        <v>0</v>
      </c>
      <c r="BB204" s="131"/>
      <c r="BC204" s="131"/>
      <c r="BD204" s="131">
        <f t="shared" ref="BD204:BD226" si="291">IF(A204=0," ",BD203)</f>
        <v>0</v>
      </c>
      <c r="BE204" s="131"/>
      <c r="BF204" s="131">
        <f t="shared" si="253"/>
        <v>0</v>
      </c>
      <c r="BG204" s="131">
        <f t="shared" si="254"/>
        <v>0</v>
      </c>
      <c r="BH204" s="131"/>
      <c r="BI204" s="131"/>
      <c r="BJ204" s="131"/>
      <c r="BK204" s="131">
        <f t="shared" si="255"/>
        <v>0</v>
      </c>
      <c r="BL204" s="131"/>
      <c r="BM204" s="131"/>
      <c r="BN204" s="131">
        <f t="shared" si="256"/>
        <v>0</v>
      </c>
      <c r="BO204" s="131"/>
      <c r="BP204" s="131">
        <f t="shared" si="257"/>
        <v>0</v>
      </c>
      <c r="BQ204" s="131"/>
      <c r="BR204" s="131"/>
      <c r="BS204" s="131"/>
      <c r="BT204" s="131"/>
      <c r="BU204" s="131"/>
      <c r="BV204" s="131">
        <f t="shared" si="258"/>
        <v>0</v>
      </c>
      <c r="BW204" s="131"/>
      <c r="BX204" s="131"/>
      <c r="BY204" s="131"/>
      <c r="BZ204" s="131">
        <f t="shared" si="259"/>
        <v>0</v>
      </c>
      <c r="CA204" s="131"/>
      <c r="CB204" s="136">
        <f t="shared" ref="CB204:CB226" si="292">IF(A204=0," ",+CB203)</f>
        <v>160.55836672570746</v>
      </c>
      <c r="CC204" s="131">
        <f t="shared" ref="CC204:CC226" si="293">IF(A204=0," ",CC203)</f>
        <v>0</v>
      </c>
      <c r="CD204" s="136">
        <f t="shared" ref="CD204:CD226" si="294">IF(A204=0," ",CD203)</f>
        <v>0</v>
      </c>
      <c r="CE204" s="131">
        <f t="shared" si="262"/>
        <v>0</v>
      </c>
      <c r="CF204" s="136">
        <f t="shared" ref="CF204:CF226" si="295">IF(A204=0," ",+CF203)</f>
        <v>0</v>
      </c>
      <c r="CG204" s="136"/>
      <c r="CH204" s="136">
        <f t="shared" si="261"/>
        <v>0</v>
      </c>
      <c r="CI204" s="131">
        <f t="shared" ref="CI204:CI226" si="296">IF(A204=0," ",CI203)</f>
        <v>0</v>
      </c>
      <c r="CJ204" s="131"/>
      <c r="CK204" s="136">
        <f t="shared" ref="CK204:CK226" si="297">IF(A204=0," ",+CK203)</f>
        <v>0</v>
      </c>
      <c r="CL204" s="136">
        <f t="shared" ref="CL204:CL226" si="298">IF(A204=0," ",+CL203)</f>
        <v>804.25411383551102</v>
      </c>
      <c r="CM204" s="131">
        <f t="shared" ref="CM204:CM226" si="299">IF(A204=0," ",CM203)</f>
        <v>0</v>
      </c>
      <c r="CN204" s="136">
        <f t="shared" ref="CN204:CN226" si="300">IF(A204=0," ",+CN203)</f>
        <v>0</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f t="shared" ref="DB204:DB226" si="306">IF(A204=0," ",+DB203)</f>
        <v>0</v>
      </c>
      <c r="DC204" s="131">
        <f t="shared" si="266"/>
        <v>0</v>
      </c>
      <c r="DD204" s="131">
        <f t="shared" ref="DD204:DD226" si="307">IF(A204=0," ",DD203)</f>
        <v>0</v>
      </c>
      <c r="DE204" s="131">
        <f t="shared" ref="DE204:DE226" si="308">IF(A204=0," ",DE203)</f>
        <v>0</v>
      </c>
      <c r="DF204" s="131">
        <f t="shared" ref="DF204:DF226" si="309">IF(A204=0," ",DF203)</f>
        <v>0</v>
      </c>
      <c r="DG204" s="131">
        <f t="shared" ref="DG204:DG226" si="310">IF(A204=0," ",DG203)</f>
        <v>0</v>
      </c>
      <c r="DH204" s="131"/>
      <c r="DI204" s="131"/>
      <c r="DJ204" s="131"/>
      <c r="DK204" s="137">
        <f t="shared" si="260"/>
        <v>4620.5129979953599</v>
      </c>
      <c r="DL204" s="227" t="e">
        <f t="shared" ref="DL204:DL226" si="311">IF(A204=0," ",DL203)</f>
        <v>#REF!</v>
      </c>
      <c r="DM204" s="227" t="e">
        <f t="shared" ref="DM204:DM226" si="312">IF(A204=0," ",DM203)</f>
        <v>#REF!</v>
      </c>
      <c r="DN204" s="228" t="e">
        <f t="shared" si="267"/>
        <v>#REF!</v>
      </c>
      <c r="DO204" s="228">
        <f t="shared" ref="DO204:DO226" si="313">IF(A204=0," ",DO203)</f>
        <v>194.35242757490622</v>
      </c>
      <c r="DP204" s="228" t="e">
        <f t="shared" ref="DP204:DP226" si="314">IF(A203=0," ",DP203)</f>
        <v>#REF!</v>
      </c>
      <c r="DQ204" s="228" t="e">
        <f t="shared" ref="DQ204:DQ226" si="315">IF(A203=0," ",DQ203)</f>
        <v>#REF!</v>
      </c>
    </row>
    <row r="205" spans="1:121">
      <c r="A205" s="132">
        <f t="shared" si="265"/>
        <v>195</v>
      </c>
      <c r="B205" s="18">
        <f t="shared" ref="B205:B226" si="316">IF(A205=0," ",B204+1)</f>
        <v>195</v>
      </c>
      <c r="C205" s="18">
        <f>IF(A205=0," ",VLOOKUP(B205,'tosafot '!$A$7:$B$234,2,0))</f>
        <v>3.2023999999999999</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1</v>
      </c>
      <c r="J205" s="18" t="str">
        <f t="shared" ref="J205:J226" si="323">IF(A205=0," ",+J204)</f>
        <v>מינהלי - עובדי מדינה</v>
      </c>
      <c r="K205" s="189">
        <f t="shared" ref="K205:K226" si="324">IF(A205=0," ",+K204)</f>
        <v>1</v>
      </c>
      <c r="L205" s="18">
        <f t="shared" ref="L205:L226" si="325">IF(A205=0," ",+L204)</f>
        <v>12</v>
      </c>
      <c r="M205" s="129" t="str">
        <f t="shared" ref="M205:M226" si="326">IF(A205=0," ",+M204)</f>
        <v>17+</v>
      </c>
      <c r="N205" s="189"/>
      <c r="O205" s="132">
        <f t="shared" ref="O205:O226" si="327">IF(A205=0," ",+O204)</f>
        <v>1012</v>
      </c>
      <c r="P205" s="127">
        <f t="shared" ref="P205:P226" si="328">IF(A205=0," ",P204)</f>
        <v>37</v>
      </c>
      <c r="Q205" s="127">
        <f t="shared" ref="Q205:Q226" si="329">IF(A205=0," ",+Q204)</f>
        <v>36.75</v>
      </c>
      <c r="R205" s="128">
        <f t="shared" ref="R205:R226" si="330">IF(A205=0," ",+R204)</f>
        <v>148</v>
      </c>
      <c r="S205" s="130">
        <f t="shared" ref="S205:S226" si="331">IF(A205=0," ",+S204)</f>
        <v>1.4414995494685181</v>
      </c>
      <c r="T205" s="135">
        <f t="shared" si="268"/>
        <v>0</v>
      </c>
      <c r="U205" s="127">
        <f t="shared" si="269"/>
        <v>0</v>
      </c>
      <c r="V205" s="217">
        <v>0</v>
      </c>
      <c r="W205" s="191">
        <v>0</v>
      </c>
      <c r="X205" s="133">
        <v>0</v>
      </c>
      <c r="Y205" s="131">
        <f t="shared" si="270"/>
        <v>2438.5</v>
      </c>
      <c r="Z205" s="131">
        <f t="shared" si="271"/>
        <v>1076.5966513789815</v>
      </c>
      <c r="AA205" s="242">
        <f t="shared" si="272"/>
        <v>3515.0966513789817</v>
      </c>
      <c r="AB205" s="131">
        <f t="shared" si="273"/>
        <v>0</v>
      </c>
      <c r="AC205" s="131">
        <f t="shared" si="274"/>
        <v>140.60386605515927</v>
      </c>
      <c r="AD205" s="131">
        <f t="shared" si="275"/>
        <v>0</v>
      </c>
      <c r="AE205" s="131">
        <f t="shared" si="276"/>
        <v>0</v>
      </c>
      <c r="AF205" s="131">
        <f t="shared" si="277"/>
        <v>0</v>
      </c>
      <c r="AG205" s="131">
        <f t="shared" si="278"/>
        <v>0</v>
      </c>
      <c r="AH205" s="131">
        <f t="shared" si="279"/>
        <v>0</v>
      </c>
      <c r="AI205" s="131">
        <f t="shared" si="280"/>
        <v>0</v>
      </c>
      <c r="AJ205" s="131">
        <f t="shared" si="281"/>
        <v>0</v>
      </c>
      <c r="AK205" s="131"/>
      <c r="AL205" s="131">
        <f t="shared" si="282"/>
        <v>0</v>
      </c>
      <c r="AM205" s="131"/>
      <c r="AN205" s="243">
        <f t="shared" si="283"/>
        <v>0</v>
      </c>
      <c r="AO205" s="131">
        <f t="shared" si="284"/>
        <v>0</v>
      </c>
      <c r="AP205" s="131">
        <f t="shared" si="285"/>
        <v>0</v>
      </c>
      <c r="AQ205" s="131"/>
      <c r="AR205" s="131">
        <f t="shared" si="286"/>
        <v>0</v>
      </c>
      <c r="AS205" s="131">
        <f t="shared" ref="AS205:AS226" si="332">IF(A205=0," ",AS204)</f>
        <v>0</v>
      </c>
      <c r="AT205" s="131">
        <f t="shared" si="287"/>
        <v>0</v>
      </c>
      <c r="AU205" s="131">
        <f t="shared" si="288"/>
        <v>0</v>
      </c>
      <c r="AV205" s="131"/>
      <c r="AW205" s="131">
        <f t="shared" si="289"/>
        <v>0</v>
      </c>
      <c r="AX205" s="131">
        <f t="shared" si="263"/>
        <v>0</v>
      </c>
      <c r="AY205" s="131">
        <f t="shared" si="290"/>
        <v>0</v>
      </c>
      <c r="AZ205" s="131"/>
      <c r="BA205" s="131">
        <f t="shared" si="264"/>
        <v>0</v>
      </c>
      <c r="BB205" s="131"/>
      <c r="BC205" s="131"/>
      <c r="BD205" s="131">
        <f t="shared" si="291"/>
        <v>0</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f t="shared" ref="BP205:BP226" si="337">IF(A205=0," ",BP204)</f>
        <v>0</v>
      </c>
      <c r="BQ205" s="131"/>
      <c r="BR205" s="131"/>
      <c r="BS205" s="131"/>
      <c r="BT205" s="131"/>
      <c r="BU205" s="131"/>
      <c r="BV205" s="131">
        <f t="shared" ref="BV205:BV226" si="338">IF(A204=0," ",BV204)</f>
        <v>0</v>
      </c>
      <c r="BW205" s="131"/>
      <c r="BX205" s="131"/>
      <c r="BY205" s="131"/>
      <c r="BZ205" s="131">
        <f t="shared" ref="BZ205:BZ226" si="339">IF(A205=0," ",BZ204)</f>
        <v>0</v>
      </c>
      <c r="CA205" s="131"/>
      <c r="CB205" s="136">
        <f t="shared" si="292"/>
        <v>160.55836672570746</v>
      </c>
      <c r="CC205" s="131">
        <f t="shared" si="293"/>
        <v>0</v>
      </c>
      <c r="CD205" s="136">
        <f t="shared" si="294"/>
        <v>0</v>
      </c>
      <c r="CE205" s="131">
        <f t="shared" si="262"/>
        <v>0</v>
      </c>
      <c r="CF205" s="136">
        <f t="shared" si="295"/>
        <v>0</v>
      </c>
      <c r="CG205" s="136"/>
      <c r="CH205" s="136">
        <f t="shared" si="261"/>
        <v>0</v>
      </c>
      <c r="CI205" s="131">
        <f t="shared" si="296"/>
        <v>0</v>
      </c>
      <c r="CJ205" s="131"/>
      <c r="CK205" s="136">
        <f t="shared" si="297"/>
        <v>0</v>
      </c>
      <c r="CL205" s="136">
        <f t="shared" si="298"/>
        <v>804.25411383551102</v>
      </c>
      <c r="CM205" s="131">
        <f t="shared" si="299"/>
        <v>0</v>
      </c>
      <c r="CN205" s="136">
        <f t="shared" si="300"/>
        <v>0</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f t="shared" si="306"/>
        <v>0</v>
      </c>
      <c r="DC205" s="131">
        <f t="shared" si="266"/>
        <v>0</v>
      </c>
      <c r="DD205" s="131">
        <f t="shared" si="307"/>
        <v>0</v>
      </c>
      <c r="DE205" s="131">
        <f t="shared" si="308"/>
        <v>0</v>
      </c>
      <c r="DF205" s="131">
        <f t="shared" si="309"/>
        <v>0</v>
      </c>
      <c r="DG205" s="131">
        <f t="shared" si="310"/>
        <v>0</v>
      </c>
      <c r="DH205" s="131"/>
      <c r="DI205" s="131"/>
      <c r="DJ205" s="131"/>
      <c r="DK205" s="137">
        <f t="shared" ref="DK205:DK226" si="340">IF(A205=0," ",SUM(AA205:DG205))</f>
        <v>4620.5129979953599</v>
      </c>
      <c r="DL205" s="227" t="e">
        <f t="shared" si="311"/>
        <v>#REF!</v>
      </c>
      <c r="DM205" s="227" t="e">
        <f t="shared" si="312"/>
        <v>#REF!</v>
      </c>
      <c r="DN205" s="228" t="e">
        <f t="shared" si="267"/>
        <v>#REF!</v>
      </c>
      <c r="DO205" s="228">
        <f t="shared" si="313"/>
        <v>194.35242757490622</v>
      </c>
      <c r="DP205" s="228" t="e">
        <f t="shared" si="314"/>
        <v>#REF!</v>
      </c>
      <c r="DQ205" s="228" t="e">
        <f t="shared" si="315"/>
        <v>#REF!</v>
      </c>
    </row>
    <row r="206" spans="1:121">
      <c r="A206" s="132">
        <f t="shared" si="265"/>
        <v>196</v>
      </c>
      <c r="B206" s="18">
        <f t="shared" si="316"/>
        <v>196</v>
      </c>
      <c r="C206" s="18">
        <f>IF(A206=0," ",VLOOKUP(B206,'tosafot '!$A$7:$B$234,2,0))</f>
        <v>4.2023999999999999</v>
      </c>
      <c r="D206" s="220">
        <f t="shared" si="317"/>
        <v>228</v>
      </c>
      <c r="E206" s="130">
        <f t="shared" si="318"/>
        <v>12.2026</v>
      </c>
      <c r="F206" s="126">
        <f t="shared" si="319"/>
        <v>22</v>
      </c>
      <c r="G206" s="18" t="str">
        <f t="shared" si="320"/>
        <v>התחבורה</v>
      </c>
      <c r="H206" s="189">
        <f t="shared" si="321"/>
        <v>122</v>
      </c>
      <c r="I206" s="18">
        <f t="shared" si="322"/>
        <v>1</v>
      </c>
      <c r="J206" s="18" t="str">
        <f t="shared" si="323"/>
        <v>מינהלי - עובדי מדינה</v>
      </c>
      <c r="K206" s="189">
        <f t="shared" si="324"/>
        <v>1</v>
      </c>
      <c r="L206" s="18">
        <f t="shared" si="325"/>
        <v>12</v>
      </c>
      <c r="M206" s="129" t="str">
        <f t="shared" si="326"/>
        <v>17+</v>
      </c>
      <c r="N206" s="189"/>
      <c r="O206" s="132">
        <f t="shared" si="327"/>
        <v>1012</v>
      </c>
      <c r="P206" s="127">
        <f t="shared" si="328"/>
        <v>37</v>
      </c>
      <c r="Q206" s="127">
        <f t="shared" si="329"/>
        <v>36.75</v>
      </c>
      <c r="R206" s="128">
        <f t="shared" si="330"/>
        <v>148</v>
      </c>
      <c r="S206" s="130">
        <f t="shared" si="331"/>
        <v>1.4414995494685181</v>
      </c>
      <c r="T206" s="135">
        <f t="shared" si="268"/>
        <v>0</v>
      </c>
      <c r="U206" s="127">
        <f t="shared" si="269"/>
        <v>0</v>
      </c>
      <c r="V206" s="217">
        <v>0</v>
      </c>
      <c r="W206" s="191">
        <v>0</v>
      </c>
      <c r="X206" s="133">
        <v>0</v>
      </c>
      <c r="Y206" s="131">
        <f t="shared" si="270"/>
        <v>2438.5</v>
      </c>
      <c r="Z206" s="131">
        <f t="shared" si="271"/>
        <v>1076.5966513789815</v>
      </c>
      <c r="AA206" s="242">
        <f t="shared" si="272"/>
        <v>3515.0966513789817</v>
      </c>
      <c r="AB206" s="131">
        <f t="shared" si="273"/>
        <v>0</v>
      </c>
      <c r="AC206" s="131">
        <f t="shared" si="274"/>
        <v>140.60386605515927</v>
      </c>
      <c r="AD206" s="131">
        <f t="shared" si="275"/>
        <v>0</v>
      </c>
      <c r="AE206" s="131">
        <f t="shared" si="276"/>
        <v>0</v>
      </c>
      <c r="AF206" s="131">
        <f t="shared" si="277"/>
        <v>0</v>
      </c>
      <c r="AG206" s="131">
        <f t="shared" si="278"/>
        <v>0</v>
      </c>
      <c r="AH206" s="131">
        <f t="shared" si="279"/>
        <v>0</v>
      </c>
      <c r="AI206" s="131">
        <f t="shared" si="280"/>
        <v>0</v>
      </c>
      <c r="AJ206" s="131">
        <f t="shared" si="281"/>
        <v>0</v>
      </c>
      <c r="AK206" s="131"/>
      <c r="AL206" s="131">
        <f t="shared" si="282"/>
        <v>0</v>
      </c>
      <c r="AM206" s="131"/>
      <c r="AN206" s="243">
        <f t="shared" si="283"/>
        <v>0</v>
      </c>
      <c r="AO206" s="131">
        <f t="shared" si="284"/>
        <v>0</v>
      </c>
      <c r="AP206" s="131">
        <f t="shared" si="285"/>
        <v>0</v>
      </c>
      <c r="AQ206" s="131"/>
      <c r="AR206" s="131">
        <f t="shared" si="286"/>
        <v>0</v>
      </c>
      <c r="AS206" s="131">
        <f t="shared" si="332"/>
        <v>0</v>
      </c>
      <c r="AT206" s="131">
        <f t="shared" si="287"/>
        <v>0</v>
      </c>
      <c r="AU206" s="131">
        <f t="shared" si="288"/>
        <v>0</v>
      </c>
      <c r="AV206" s="131"/>
      <c r="AW206" s="131">
        <f t="shared" si="289"/>
        <v>0</v>
      </c>
      <c r="AX206" s="131">
        <f t="shared" si="263"/>
        <v>0</v>
      </c>
      <c r="AY206" s="131">
        <f t="shared" si="290"/>
        <v>0</v>
      </c>
      <c r="AZ206" s="131"/>
      <c r="BA206" s="131">
        <f t="shared" si="264"/>
        <v>0</v>
      </c>
      <c r="BB206" s="131"/>
      <c r="BC206" s="131"/>
      <c r="BD206" s="131">
        <f t="shared" si="291"/>
        <v>0</v>
      </c>
      <c r="BE206" s="131"/>
      <c r="BF206" s="131">
        <f t="shared" si="333"/>
        <v>0</v>
      </c>
      <c r="BG206" s="131">
        <f t="shared" si="334"/>
        <v>0</v>
      </c>
      <c r="BH206" s="131"/>
      <c r="BI206" s="131"/>
      <c r="BJ206" s="131"/>
      <c r="BK206" s="131">
        <f t="shared" si="335"/>
        <v>0</v>
      </c>
      <c r="BL206" s="131"/>
      <c r="BM206" s="131"/>
      <c r="BN206" s="131">
        <f t="shared" si="336"/>
        <v>0</v>
      </c>
      <c r="BO206" s="131"/>
      <c r="BP206" s="131">
        <f t="shared" si="337"/>
        <v>0</v>
      </c>
      <c r="BQ206" s="131"/>
      <c r="BR206" s="131"/>
      <c r="BS206" s="131"/>
      <c r="BT206" s="131"/>
      <c r="BU206" s="131"/>
      <c r="BV206" s="131">
        <f t="shared" si="338"/>
        <v>0</v>
      </c>
      <c r="BW206" s="131"/>
      <c r="BX206" s="131"/>
      <c r="BY206" s="131"/>
      <c r="BZ206" s="131">
        <f t="shared" si="339"/>
        <v>0</v>
      </c>
      <c r="CA206" s="131"/>
      <c r="CB206" s="136">
        <f t="shared" si="292"/>
        <v>160.55836672570746</v>
      </c>
      <c r="CC206" s="131">
        <f t="shared" si="293"/>
        <v>0</v>
      </c>
      <c r="CD206" s="136">
        <f t="shared" si="294"/>
        <v>0</v>
      </c>
      <c r="CE206" s="131">
        <f t="shared" si="262"/>
        <v>0</v>
      </c>
      <c r="CF206" s="136">
        <f t="shared" si="295"/>
        <v>0</v>
      </c>
      <c r="CG206" s="136"/>
      <c r="CH206" s="136">
        <f t="shared" ref="CH206:CH226" si="341">IF(A206=0," ",+CH205)</f>
        <v>0</v>
      </c>
      <c r="CI206" s="131">
        <f t="shared" si="296"/>
        <v>0</v>
      </c>
      <c r="CJ206" s="131"/>
      <c r="CK206" s="136">
        <f t="shared" si="297"/>
        <v>0</v>
      </c>
      <c r="CL206" s="136">
        <f t="shared" si="298"/>
        <v>804.25411383551102</v>
      </c>
      <c r="CM206" s="131">
        <f t="shared" si="299"/>
        <v>0</v>
      </c>
      <c r="CN206" s="136">
        <f t="shared" si="300"/>
        <v>0</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f t="shared" si="306"/>
        <v>0</v>
      </c>
      <c r="DC206" s="131">
        <f t="shared" si="266"/>
        <v>0</v>
      </c>
      <c r="DD206" s="131">
        <f t="shared" si="307"/>
        <v>0</v>
      </c>
      <c r="DE206" s="131">
        <f t="shared" si="308"/>
        <v>0</v>
      </c>
      <c r="DF206" s="131">
        <f t="shared" si="309"/>
        <v>0</v>
      </c>
      <c r="DG206" s="131">
        <f t="shared" si="310"/>
        <v>0</v>
      </c>
      <c r="DH206" s="131"/>
      <c r="DI206" s="131"/>
      <c r="DJ206" s="131"/>
      <c r="DK206" s="137">
        <f t="shared" si="340"/>
        <v>4620.5129979953599</v>
      </c>
      <c r="DL206" s="227" t="e">
        <f t="shared" si="311"/>
        <v>#REF!</v>
      </c>
      <c r="DM206" s="227" t="e">
        <f t="shared" si="312"/>
        <v>#REF!</v>
      </c>
      <c r="DN206" s="228" t="e">
        <f t="shared" si="267"/>
        <v>#REF!</v>
      </c>
      <c r="DO206" s="228">
        <f t="shared" si="313"/>
        <v>194.35242757490622</v>
      </c>
      <c r="DP206" s="228" t="e">
        <f t="shared" si="314"/>
        <v>#REF!</v>
      </c>
      <c r="DQ206" s="228" t="e">
        <f t="shared" si="315"/>
        <v>#REF!</v>
      </c>
    </row>
    <row r="207" spans="1:121">
      <c r="A207" s="132">
        <f t="shared" si="265"/>
        <v>197</v>
      </c>
      <c r="B207" s="18">
        <f t="shared" si="316"/>
        <v>197</v>
      </c>
      <c r="C207" s="18">
        <f>IF(A207=0," ",VLOOKUP(B207,'tosafot '!$A$7:$B$234,2,0))</f>
        <v>5.2023999999999999</v>
      </c>
      <c r="D207" s="220">
        <f t="shared" si="317"/>
        <v>228</v>
      </c>
      <c r="E207" s="130">
        <f t="shared" si="318"/>
        <v>12.2026</v>
      </c>
      <c r="F207" s="126">
        <f t="shared" si="319"/>
        <v>22</v>
      </c>
      <c r="G207" s="18" t="str">
        <f t="shared" si="320"/>
        <v>התחבורה</v>
      </c>
      <c r="H207" s="189">
        <f t="shared" si="321"/>
        <v>122</v>
      </c>
      <c r="I207" s="18">
        <f t="shared" si="322"/>
        <v>1</v>
      </c>
      <c r="J207" s="18" t="str">
        <f t="shared" si="323"/>
        <v>מינהלי - עובדי מדינה</v>
      </c>
      <c r="K207" s="189">
        <f t="shared" si="324"/>
        <v>1</v>
      </c>
      <c r="L207" s="18">
        <f t="shared" si="325"/>
        <v>12</v>
      </c>
      <c r="M207" s="129" t="str">
        <f t="shared" si="326"/>
        <v>17+</v>
      </c>
      <c r="N207" s="189"/>
      <c r="O207" s="132">
        <f t="shared" si="327"/>
        <v>1012</v>
      </c>
      <c r="P207" s="127">
        <f t="shared" si="328"/>
        <v>37</v>
      </c>
      <c r="Q207" s="127">
        <f t="shared" si="329"/>
        <v>36.75</v>
      </c>
      <c r="R207" s="128">
        <f t="shared" si="330"/>
        <v>148</v>
      </c>
      <c r="S207" s="130">
        <f t="shared" si="331"/>
        <v>1.4414995494685181</v>
      </c>
      <c r="T207" s="135">
        <f t="shared" si="268"/>
        <v>0</v>
      </c>
      <c r="U207" s="127">
        <f t="shared" si="269"/>
        <v>0</v>
      </c>
      <c r="V207" s="217">
        <v>0</v>
      </c>
      <c r="W207" s="191">
        <v>0</v>
      </c>
      <c r="X207" s="133">
        <v>0</v>
      </c>
      <c r="Y207" s="131">
        <f t="shared" si="270"/>
        <v>2438.5</v>
      </c>
      <c r="Z207" s="131">
        <f t="shared" si="271"/>
        <v>1076.5966513789815</v>
      </c>
      <c r="AA207" s="242">
        <f t="shared" si="272"/>
        <v>3515.0966513789817</v>
      </c>
      <c r="AB207" s="131">
        <f t="shared" si="273"/>
        <v>0</v>
      </c>
      <c r="AC207" s="131">
        <f t="shared" si="274"/>
        <v>140.60386605515927</v>
      </c>
      <c r="AD207" s="131">
        <f t="shared" si="275"/>
        <v>0</v>
      </c>
      <c r="AE207" s="131">
        <f t="shared" si="276"/>
        <v>0</v>
      </c>
      <c r="AF207" s="131">
        <f t="shared" si="277"/>
        <v>0</v>
      </c>
      <c r="AG207" s="131">
        <f t="shared" si="278"/>
        <v>0</v>
      </c>
      <c r="AH207" s="131">
        <f t="shared" si="279"/>
        <v>0</v>
      </c>
      <c r="AI207" s="131">
        <f t="shared" si="280"/>
        <v>0</v>
      </c>
      <c r="AJ207" s="131">
        <f t="shared" si="281"/>
        <v>0</v>
      </c>
      <c r="AK207" s="131"/>
      <c r="AL207" s="131">
        <f t="shared" si="282"/>
        <v>0</v>
      </c>
      <c r="AM207" s="131"/>
      <c r="AN207" s="243">
        <f t="shared" si="283"/>
        <v>0</v>
      </c>
      <c r="AO207" s="131">
        <f t="shared" si="284"/>
        <v>0</v>
      </c>
      <c r="AP207" s="131">
        <f t="shared" si="285"/>
        <v>0</v>
      </c>
      <c r="AQ207" s="131"/>
      <c r="AR207" s="131">
        <f t="shared" si="286"/>
        <v>0</v>
      </c>
      <c r="AS207" s="131">
        <f t="shared" si="332"/>
        <v>0</v>
      </c>
      <c r="AT207" s="131">
        <f t="shared" si="287"/>
        <v>0</v>
      </c>
      <c r="AU207" s="131">
        <f t="shared" si="288"/>
        <v>0</v>
      </c>
      <c r="AV207" s="131"/>
      <c r="AW207" s="131">
        <f t="shared" si="289"/>
        <v>0</v>
      </c>
      <c r="AX207" s="131">
        <f t="shared" si="263"/>
        <v>0</v>
      </c>
      <c r="AY207" s="131">
        <f t="shared" si="290"/>
        <v>0</v>
      </c>
      <c r="AZ207" s="131"/>
      <c r="BA207" s="131">
        <f t="shared" si="264"/>
        <v>0</v>
      </c>
      <c r="BB207" s="131"/>
      <c r="BC207" s="131"/>
      <c r="BD207" s="131">
        <f t="shared" si="291"/>
        <v>0</v>
      </c>
      <c r="BE207" s="131"/>
      <c r="BF207" s="131">
        <f t="shared" si="333"/>
        <v>0</v>
      </c>
      <c r="BG207" s="131">
        <f t="shared" si="334"/>
        <v>0</v>
      </c>
      <c r="BH207" s="131"/>
      <c r="BI207" s="131"/>
      <c r="BJ207" s="131"/>
      <c r="BK207" s="131">
        <f t="shared" si="335"/>
        <v>0</v>
      </c>
      <c r="BL207" s="131"/>
      <c r="BM207" s="131"/>
      <c r="BN207" s="131">
        <f t="shared" si="336"/>
        <v>0</v>
      </c>
      <c r="BO207" s="131"/>
      <c r="BP207" s="131">
        <f t="shared" si="337"/>
        <v>0</v>
      </c>
      <c r="BQ207" s="131"/>
      <c r="BR207" s="131"/>
      <c r="BS207" s="131"/>
      <c r="BT207" s="131"/>
      <c r="BU207" s="131"/>
      <c r="BV207" s="131">
        <f t="shared" si="338"/>
        <v>0</v>
      </c>
      <c r="BW207" s="131"/>
      <c r="BX207" s="131"/>
      <c r="BY207" s="131"/>
      <c r="BZ207" s="131">
        <f t="shared" si="339"/>
        <v>0</v>
      </c>
      <c r="CA207" s="131"/>
      <c r="CB207" s="136">
        <f t="shared" si="292"/>
        <v>160.55836672570746</v>
      </c>
      <c r="CC207" s="131">
        <f t="shared" si="293"/>
        <v>0</v>
      </c>
      <c r="CD207" s="136">
        <f t="shared" si="294"/>
        <v>0</v>
      </c>
      <c r="CE207" s="131">
        <f t="shared" si="262"/>
        <v>0</v>
      </c>
      <c r="CF207" s="136">
        <f t="shared" si="295"/>
        <v>0</v>
      </c>
      <c r="CG207" s="136"/>
      <c r="CH207" s="136">
        <f t="shared" si="341"/>
        <v>0</v>
      </c>
      <c r="CI207" s="131">
        <f t="shared" si="296"/>
        <v>0</v>
      </c>
      <c r="CJ207" s="131"/>
      <c r="CK207" s="136">
        <f t="shared" si="297"/>
        <v>0</v>
      </c>
      <c r="CL207" s="136">
        <f t="shared" si="298"/>
        <v>804.25411383551102</v>
      </c>
      <c r="CM207" s="131">
        <f t="shared" si="299"/>
        <v>0</v>
      </c>
      <c r="CN207" s="136">
        <f t="shared" si="300"/>
        <v>0</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f t="shared" si="306"/>
        <v>0</v>
      </c>
      <c r="DC207" s="131">
        <f t="shared" si="266"/>
        <v>0</v>
      </c>
      <c r="DD207" s="131">
        <f t="shared" si="307"/>
        <v>0</v>
      </c>
      <c r="DE207" s="131">
        <f t="shared" si="308"/>
        <v>0</v>
      </c>
      <c r="DF207" s="131">
        <f t="shared" si="309"/>
        <v>0</v>
      </c>
      <c r="DG207" s="131">
        <f t="shared" si="310"/>
        <v>0</v>
      </c>
      <c r="DH207" s="131"/>
      <c r="DI207" s="131"/>
      <c r="DJ207" s="131"/>
      <c r="DK207" s="137">
        <f t="shared" si="340"/>
        <v>4620.5129979953599</v>
      </c>
      <c r="DL207" s="227" t="e">
        <f t="shared" si="311"/>
        <v>#REF!</v>
      </c>
      <c r="DM207" s="227" t="e">
        <f t="shared" si="312"/>
        <v>#REF!</v>
      </c>
      <c r="DN207" s="228" t="e">
        <f t="shared" si="267"/>
        <v>#REF!</v>
      </c>
      <c r="DO207" s="228">
        <f t="shared" si="313"/>
        <v>194.35242757490622</v>
      </c>
      <c r="DP207" s="228" t="e">
        <f t="shared" si="314"/>
        <v>#REF!</v>
      </c>
      <c r="DQ207" s="228" t="e">
        <f t="shared" si="315"/>
        <v>#REF!</v>
      </c>
    </row>
    <row r="208" spans="1:121">
      <c r="A208" s="132">
        <f t="shared" si="265"/>
        <v>198</v>
      </c>
      <c r="B208" s="18">
        <f t="shared" si="316"/>
        <v>198</v>
      </c>
      <c r="C208" s="18">
        <f>IF(A208=0," ",VLOOKUP(B208,'tosafot '!$A$7:$B$234,2,0))</f>
        <v>6.2023999999999999</v>
      </c>
      <c r="D208" s="220">
        <f t="shared" si="317"/>
        <v>228</v>
      </c>
      <c r="E208" s="130">
        <f t="shared" si="318"/>
        <v>12.2026</v>
      </c>
      <c r="F208" s="126">
        <f t="shared" si="319"/>
        <v>22</v>
      </c>
      <c r="G208" s="18" t="str">
        <f t="shared" si="320"/>
        <v>התחבורה</v>
      </c>
      <c r="H208" s="189">
        <f t="shared" si="321"/>
        <v>122</v>
      </c>
      <c r="I208" s="18">
        <f t="shared" si="322"/>
        <v>1</v>
      </c>
      <c r="J208" s="18" t="str">
        <f t="shared" si="323"/>
        <v>מינהלי - עובדי מדינה</v>
      </c>
      <c r="K208" s="189">
        <f t="shared" si="324"/>
        <v>1</v>
      </c>
      <c r="L208" s="18">
        <f t="shared" si="325"/>
        <v>12</v>
      </c>
      <c r="M208" s="129" t="str">
        <f t="shared" si="326"/>
        <v>17+</v>
      </c>
      <c r="N208" s="189"/>
      <c r="O208" s="132">
        <f t="shared" si="327"/>
        <v>1012</v>
      </c>
      <c r="P208" s="127">
        <f t="shared" si="328"/>
        <v>37</v>
      </c>
      <c r="Q208" s="127">
        <f t="shared" si="329"/>
        <v>36.75</v>
      </c>
      <c r="R208" s="128">
        <f t="shared" si="330"/>
        <v>148</v>
      </c>
      <c r="S208" s="130">
        <f t="shared" si="331"/>
        <v>1.4414995494685181</v>
      </c>
      <c r="T208" s="135">
        <f t="shared" si="268"/>
        <v>0</v>
      </c>
      <c r="U208" s="127">
        <f t="shared" si="269"/>
        <v>0</v>
      </c>
      <c r="V208" s="217">
        <v>0</v>
      </c>
      <c r="W208" s="191">
        <v>0</v>
      </c>
      <c r="X208" s="133">
        <v>0</v>
      </c>
      <c r="Y208" s="131">
        <f t="shared" si="270"/>
        <v>2438.5</v>
      </c>
      <c r="Z208" s="131">
        <f t="shared" si="271"/>
        <v>1076.5966513789815</v>
      </c>
      <c r="AA208" s="242">
        <f t="shared" si="272"/>
        <v>3515.0966513789817</v>
      </c>
      <c r="AB208" s="131">
        <f t="shared" si="273"/>
        <v>0</v>
      </c>
      <c r="AC208" s="131">
        <f t="shared" si="274"/>
        <v>140.60386605515927</v>
      </c>
      <c r="AD208" s="131">
        <f t="shared" si="275"/>
        <v>0</v>
      </c>
      <c r="AE208" s="131">
        <f t="shared" si="276"/>
        <v>0</v>
      </c>
      <c r="AF208" s="131">
        <f t="shared" si="277"/>
        <v>0</v>
      </c>
      <c r="AG208" s="131">
        <f t="shared" si="278"/>
        <v>0</v>
      </c>
      <c r="AH208" s="131">
        <f t="shared" si="279"/>
        <v>0</v>
      </c>
      <c r="AI208" s="131">
        <f t="shared" si="280"/>
        <v>0</v>
      </c>
      <c r="AJ208" s="131">
        <f t="shared" si="281"/>
        <v>0</v>
      </c>
      <c r="AK208" s="131"/>
      <c r="AL208" s="131">
        <f t="shared" si="282"/>
        <v>0</v>
      </c>
      <c r="AM208" s="131"/>
      <c r="AN208" s="243">
        <f t="shared" si="283"/>
        <v>0</v>
      </c>
      <c r="AO208" s="131">
        <f t="shared" si="284"/>
        <v>0</v>
      </c>
      <c r="AP208" s="131">
        <f t="shared" si="285"/>
        <v>0</v>
      </c>
      <c r="AQ208" s="131"/>
      <c r="AR208" s="131">
        <f t="shared" si="286"/>
        <v>0</v>
      </c>
      <c r="AS208" s="131">
        <f t="shared" si="332"/>
        <v>0</v>
      </c>
      <c r="AT208" s="131">
        <f t="shared" si="287"/>
        <v>0</v>
      </c>
      <c r="AU208" s="131">
        <f t="shared" si="288"/>
        <v>0</v>
      </c>
      <c r="AV208" s="131"/>
      <c r="AW208" s="131">
        <f t="shared" si="289"/>
        <v>0</v>
      </c>
      <c r="AX208" s="131">
        <f t="shared" si="263"/>
        <v>0</v>
      </c>
      <c r="AY208" s="131">
        <f t="shared" si="290"/>
        <v>0</v>
      </c>
      <c r="AZ208" s="131"/>
      <c r="BA208" s="131">
        <f t="shared" si="264"/>
        <v>0</v>
      </c>
      <c r="BB208" s="131"/>
      <c r="BC208" s="131"/>
      <c r="BD208" s="131">
        <f t="shared" si="291"/>
        <v>0</v>
      </c>
      <c r="BE208" s="131"/>
      <c r="BF208" s="131">
        <f t="shared" si="333"/>
        <v>0</v>
      </c>
      <c r="BG208" s="131">
        <f t="shared" si="334"/>
        <v>0</v>
      </c>
      <c r="BH208" s="131"/>
      <c r="BI208" s="131"/>
      <c r="BJ208" s="131"/>
      <c r="BK208" s="131">
        <f t="shared" si="335"/>
        <v>0</v>
      </c>
      <c r="BL208" s="131"/>
      <c r="BM208" s="131"/>
      <c r="BN208" s="131">
        <f t="shared" si="336"/>
        <v>0</v>
      </c>
      <c r="BO208" s="131"/>
      <c r="BP208" s="131">
        <f t="shared" si="337"/>
        <v>0</v>
      </c>
      <c r="BQ208" s="131"/>
      <c r="BR208" s="131"/>
      <c r="BS208" s="131"/>
      <c r="BT208" s="131"/>
      <c r="BU208" s="131"/>
      <c r="BV208" s="131">
        <f t="shared" si="338"/>
        <v>0</v>
      </c>
      <c r="BW208" s="131"/>
      <c r="BX208" s="131"/>
      <c r="BY208" s="131"/>
      <c r="BZ208" s="131">
        <f t="shared" si="339"/>
        <v>0</v>
      </c>
      <c r="CA208" s="131"/>
      <c r="CB208" s="136">
        <f t="shared" si="292"/>
        <v>160.55836672570746</v>
      </c>
      <c r="CC208" s="131">
        <f t="shared" si="293"/>
        <v>0</v>
      </c>
      <c r="CD208" s="136">
        <f t="shared" si="294"/>
        <v>0</v>
      </c>
      <c r="CE208" s="131">
        <f t="shared" si="262"/>
        <v>0</v>
      </c>
      <c r="CF208" s="136">
        <f t="shared" si="295"/>
        <v>0</v>
      </c>
      <c r="CG208" s="136"/>
      <c r="CH208" s="136">
        <f t="shared" si="341"/>
        <v>0</v>
      </c>
      <c r="CI208" s="131">
        <f t="shared" si="296"/>
        <v>0</v>
      </c>
      <c r="CJ208" s="131"/>
      <c r="CK208" s="136">
        <f t="shared" si="297"/>
        <v>0</v>
      </c>
      <c r="CL208" s="136">
        <f t="shared" si="298"/>
        <v>804.25411383551102</v>
      </c>
      <c r="CM208" s="131">
        <f t="shared" si="299"/>
        <v>0</v>
      </c>
      <c r="CN208" s="136">
        <f t="shared" si="300"/>
        <v>0</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f t="shared" si="306"/>
        <v>0</v>
      </c>
      <c r="DC208" s="131">
        <f t="shared" si="266"/>
        <v>0</v>
      </c>
      <c r="DD208" s="131">
        <f t="shared" si="307"/>
        <v>0</v>
      </c>
      <c r="DE208" s="131">
        <f t="shared" si="308"/>
        <v>0</v>
      </c>
      <c r="DF208" s="131">
        <f t="shared" si="309"/>
        <v>0</v>
      </c>
      <c r="DG208" s="131">
        <f t="shared" si="310"/>
        <v>0</v>
      </c>
      <c r="DH208" s="131"/>
      <c r="DI208" s="131"/>
      <c r="DJ208" s="131"/>
      <c r="DK208" s="137">
        <f t="shared" si="340"/>
        <v>4620.5129979953599</v>
      </c>
      <c r="DL208" s="227" t="e">
        <f t="shared" si="311"/>
        <v>#REF!</v>
      </c>
      <c r="DM208" s="227" t="e">
        <f t="shared" si="312"/>
        <v>#REF!</v>
      </c>
      <c r="DN208" s="228" t="e">
        <f t="shared" si="267"/>
        <v>#REF!</v>
      </c>
      <c r="DO208" s="228">
        <f t="shared" si="313"/>
        <v>194.35242757490622</v>
      </c>
      <c r="DP208" s="228" t="e">
        <f t="shared" si="314"/>
        <v>#REF!</v>
      </c>
      <c r="DQ208" s="228" t="e">
        <f t="shared" si="315"/>
        <v>#REF!</v>
      </c>
    </row>
    <row r="209" spans="1:121">
      <c r="A209" s="132">
        <f t="shared" si="265"/>
        <v>199</v>
      </c>
      <c r="B209" s="18">
        <f t="shared" si="316"/>
        <v>199</v>
      </c>
      <c r="C209" s="18">
        <f>IF(A209=0," ",VLOOKUP(B209,'tosafot '!$A$7:$B$234,2,0))</f>
        <v>7.2023999999999999</v>
      </c>
      <c r="D209" s="220">
        <f t="shared" si="317"/>
        <v>228</v>
      </c>
      <c r="E209" s="130">
        <f t="shared" si="318"/>
        <v>12.2026</v>
      </c>
      <c r="F209" s="126">
        <f t="shared" si="319"/>
        <v>22</v>
      </c>
      <c r="G209" s="18" t="str">
        <f t="shared" si="320"/>
        <v>התחבורה</v>
      </c>
      <c r="H209" s="189">
        <f t="shared" si="321"/>
        <v>122</v>
      </c>
      <c r="I209" s="18">
        <f t="shared" si="322"/>
        <v>1</v>
      </c>
      <c r="J209" s="18" t="str">
        <f t="shared" si="323"/>
        <v>מינהלי - עובדי מדינה</v>
      </c>
      <c r="K209" s="189">
        <f t="shared" si="324"/>
        <v>1</v>
      </c>
      <c r="L209" s="18">
        <f t="shared" si="325"/>
        <v>12</v>
      </c>
      <c r="M209" s="129" t="str">
        <f t="shared" si="326"/>
        <v>17+</v>
      </c>
      <c r="N209" s="189"/>
      <c r="O209" s="132">
        <f t="shared" si="327"/>
        <v>1012</v>
      </c>
      <c r="P209" s="127">
        <f t="shared" si="328"/>
        <v>37</v>
      </c>
      <c r="Q209" s="127">
        <f t="shared" si="329"/>
        <v>36.75</v>
      </c>
      <c r="R209" s="128">
        <f t="shared" si="330"/>
        <v>148</v>
      </c>
      <c r="S209" s="130">
        <f t="shared" si="331"/>
        <v>1.4414995494685181</v>
      </c>
      <c r="T209" s="135">
        <f t="shared" si="268"/>
        <v>0</v>
      </c>
      <c r="U209" s="127">
        <f t="shared" si="269"/>
        <v>0</v>
      </c>
      <c r="V209" s="217">
        <v>0</v>
      </c>
      <c r="W209" s="191">
        <v>0</v>
      </c>
      <c r="X209" s="133">
        <v>0</v>
      </c>
      <c r="Y209" s="131">
        <f t="shared" si="270"/>
        <v>2438.5</v>
      </c>
      <c r="Z209" s="131">
        <f t="shared" si="271"/>
        <v>1076.5966513789815</v>
      </c>
      <c r="AA209" s="242">
        <f t="shared" si="272"/>
        <v>3515.0966513789817</v>
      </c>
      <c r="AB209" s="131">
        <f t="shared" si="273"/>
        <v>0</v>
      </c>
      <c r="AC209" s="131">
        <f t="shared" si="274"/>
        <v>140.60386605515927</v>
      </c>
      <c r="AD209" s="131">
        <f t="shared" si="275"/>
        <v>0</v>
      </c>
      <c r="AE209" s="131">
        <f t="shared" si="276"/>
        <v>0</v>
      </c>
      <c r="AF209" s="131">
        <f t="shared" si="277"/>
        <v>0</v>
      </c>
      <c r="AG209" s="131">
        <f t="shared" si="278"/>
        <v>0</v>
      </c>
      <c r="AH209" s="131">
        <f t="shared" si="279"/>
        <v>0</v>
      </c>
      <c r="AI209" s="131">
        <f t="shared" si="280"/>
        <v>0</v>
      </c>
      <c r="AJ209" s="131">
        <f t="shared" si="281"/>
        <v>0</v>
      </c>
      <c r="AK209" s="131"/>
      <c r="AL209" s="131">
        <f t="shared" si="282"/>
        <v>0</v>
      </c>
      <c r="AM209" s="131"/>
      <c r="AN209" s="243">
        <f t="shared" si="283"/>
        <v>0</v>
      </c>
      <c r="AO209" s="131">
        <f t="shared" si="284"/>
        <v>0</v>
      </c>
      <c r="AP209" s="131">
        <f t="shared" si="285"/>
        <v>0</v>
      </c>
      <c r="AQ209" s="131"/>
      <c r="AR209" s="131">
        <f t="shared" si="286"/>
        <v>0</v>
      </c>
      <c r="AS209" s="131">
        <f t="shared" si="332"/>
        <v>0</v>
      </c>
      <c r="AT209" s="131">
        <f t="shared" si="287"/>
        <v>0</v>
      </c>
      <c r="AU209" s="131">
        <f t="shared" si="288"/>
        <v>0</v>
      </c>
      <c r="AV209" s="131"/>
      <c r="AW209" s="131">
        <f t="shared" si="289"/>
        <v>0</v>
      </c>
      <c r="AX209" s="131">
        <f t="shared" si="263"/>
        <v>0</v>
      </c>
      <c r="AY209" s="131">
        <f t="shared" si="290"/>
        <v>0</v>
      </c>
      <c r="AZ209" s="131"/>
      <c r="BA209" s="131">
        <f t="shared" si="264"/>
        <v>0</v>
      </c>
      <c r="BB209" s="131"/>
      <c r="BC209" s="131"/>
      <c r="BD209" s="131">
        <f t="shared" si="291"/>
        <v>0</v>
      </c>
      <c r="BE209" s="131"/>
      <c r="BF209" s="131">
        <f t="shared" si="333"/>
        <v>0</v>
      </c>
      <c r="BG209" s="131">
        <f t="shared" si="334"/>
        <v>0</v>
      </c>
      <c r="BH209" s="131"/>
      <c r="BI209" s="131"/>
      <c r="BJ209" s="131"/>
      <c r="BK209" s="131">
        <f t="shared" si="335"/>
        <v>0</v>
      </c>
      <c r="BL209" s="131"/>
      <c r="BM209" s="131"/>
      <c r="BN209" s="131">
        <f t="shared" si="336"/>
        <v>0</v>
      </c>
      <c r="BO209" s="131"/>
      <c r="BP209" s="131">
        <f t="shared" si="337"/>
        <v>0</v>
      </c>
      <c r="BQ209" s="131"/>
      <c r="BR209" s="131"/>
      <c r="BS209" s="131"/>
      <c r="BT209" s="131"/>
      <c r="BU209" s="131"/>
      <c r="BV209" s="131">
        <f t="shared" si="338"/>
        <v>0</v>
      </c>
      <c r="BW209" s="131"/>
      <c r="BX209" s="131"/>
      <c r="BY209" s="131"/>
      <c r="BZ209" s="131">
        <f t="shared" si="339"/>
        <v>0</v>
      </c>
      <c r="CA209" s="131"/>
      <c r="CB209" s="136">
        <f t="shared" si="292"/>
        <v>160.55836672570746</v>
      </c>
      <c r="CC209" s="131">
        <f t="shared" si="293"/>
        <v>0</v>
      </c>
      <c r="CD209" s="136">
        <f t="shared" si="294"/>
        <v>0</v>
      </c>
      <c r="CE209" s="131">
        <f t="shared" ref="CE209:CE226" si="342">IF(A209=0," ",CE208)</f>
        <v>0</v>
      </c>
      <c r="CF209" s="136">
        <f t="shared" si="295"/>
        <v>0</v>
      </c>
      <c r="CG209" s="136"/>
      <c r="CH209" s="136">
        <f t="shared" si="341"/>
        <v>0</v>
      </c>
      <c r="CI209" s="131">
        <f t="shared" si="296"/>
        <v>0</v>
      </c>
      <c r="CJ209" s="131"/>
      <c r="CK209" s="136">
        <f t="shared" si="297"/>
        <v>0</v>
      </c>
      <c r="CL209" s="136">
        <f t="shared" si="298"/>
        <v>804.25411383551102</v>
      </c>
      <c r="CM209" s="131">
        <f t="shared" si="299"/>
        <v>0</v>
      </c>
      <c r="CN209" s="136">
        <f t="shared" si="300"/>
        <v>0</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f t="shared" si="306"/>
        <v>0</v>
      </c>
      <c r="DC209" s="131">
        <f t="shared" si="266"/>
        <v>0</v>
      </c>
      <c r="DD209" s="131">
        <f t="shared" si="307"/>
        <v>0</v>
      </c>
      <c r="DE209" s="131">
        <f t="shared" si="308"/>
        <v>0</v>
      </c>
      <c r="DF209" s="131">
        <f t="shared" si="309"/>
        <v>0</v>
      </c>
      <c r="DG209" s="131">
        <f t="shared" si="310"/>
        <v>0</v>
      </c>
      <c r="DH209" s="131"/>
      <c r="DI209" s="131"/>
      <c r="DJ209" s="131"/>
      <c r="DK209" s="137">
        <f t="shared" si="340"/>
        <v>4620.5129979953599</v>
      </c>
      <c r="DL209" s="227" t="e">
        <f t="shared" si="311"/>
        <v>#REF!</v>
      </c>
      <c r="DM209" s="227" t="e">
        <f t="shared" si="312"/>
        <v>#REF!</v>
      </c>
      <c r="DN209" s="228" t="e">
        <f t="shared" si="267"/>
        <v>#REF!</v>
      </c>
      <c r="DO209" s="228">
        <f t="shared" si="313"/>
        <v>194.35242757490622</v>
      </c>
      <c r="DP209" s="228" t="e">
        <f t="shared" si="314"/>
        <v>#REF!</v>
      </c>
      <c r="DQ209" s="228" t="e">
        <f t="shared" si="315"/>
        <v>#REF!</v>
      </c>
    </row>
    <row r="210" spans="1:121">
      <c r="A210" s="132">
        <f t="shared" si="265"/>
        <v>200</v>
      </c>
      <c r="B210" s="18">
        <f t="shared" si="316"/>
        <v>200</v>
      </c>
      <c r="C210" s="18">
        <f>IF(A210=0," ",VLOOKUP(B210,'tosafot '!$A$7:$B$234,2,0))</f>
        <v>8.2024000000000008</v>
      </c>
      <c r="D210" s="220">
        <f t="shared" si="317"/>
        <v>228</v>
      </c>
      <c r="E210" s="130">
        <f t="shared" si="318"/>
        <v>12.2026</v>
      </c>
      <c r="F210" s="126">
        <f t="shared" si="319"/>
        <v>22</v>
      </c>
      <c r="G210" s="18" t="str">
        <f t="shared" si="320"/>
        <v>התחבורה</v>
      </c>
      <c r="H210" s="189">
        <f t="shared" si="321"/>
        <v>122</v>
      </c>
      <c r="I210" s="18">
        <f t="shared" si="322"/>
        <v>1</v>
      </c>
      <c r="J210" s="18" t="str">
        <f t="shared" si="323"/>
        <v>מינהלי - עובדי מדינה</v>
      </c>
      <c r="K210" s="189">
        <f t="shared" si="324"/>
        <v>1</v>
      </c>
      <c r="L210" s="18">
        <f t="shared" si="325"/>
        <v>12</v>
      </c>
      <c r="M210" s="129" t="str">
        <f t="shared" si="326"/>
        <v>17+</v>
      </c>
      <c r="N210" s="189"/>
      <c r="O210" s="132">
        <f t="shared" si="327"/>
        <v>1012</v>
      </c>
      <c r="P210" s="127">
        <f t="shared" si="328"/>
        <v>37</v>
      </c>
      <c r="Q210" s="127">
        <f t="shared" si="329"/>
        <v>36.75</v>
      </c>
      <c r="R210" s="128">
        <f t="shared" si="330"/>
        <v>148</v>
      </c>
      <c r="S210" s="130">
        <f t="shared" si="331"/>
        <v>1.4414995494685181</v>
      </c>
      <c r="T210" s="135">
        <f t="shared" si="268"/>
        <v>0</v>
      </c>
      <c r="U210" s="127">
        <f t="shared" si="269"/>
        <v>0</v>
      </c>
      <c r="V210" s="217">
        <v>0</v>
      </c>
      <c r="W210" s="191">
        <v>0</v>
      </c>
      <c r="X210" s="133">
        <v>0</v>
      </c>
      <c r="Y210" s="131">
        <f t="shared" si="270"/>
        <v>2438.5</v>
      </c>
      <c r="Z210" s="131">
        <f t="shared" si="271"/>
        <v>1076.5966513789815</v>
      </c>
      <c r="AA210" s="242">
        <f t="shared" si="272"/>
        <v>3515.0966513789817</v>
      </c>
      <c r="AB210" s="131">
        <f t="shared" si="273"/>
        <v>0</v>
      </c>
      <c r="AC210" s="131">
        <f t="shared" si="274"/>
        <v>140.60386605515927</v>
      </c>
      <c r="AD210" s="131">
        <f t="shared" si="275"/>
        <v>0</v>
      </c>
      <c r="AE210" s="131">
        <f t="shared" si="276"/>
        <v>0</v>
      </c>
      <c r="AF210" s="131">
        <f t="shared" si="277"/>
        <v>0</v>
      </c>
      <c r="AG210" s="131">
        <f t="shared" si="278"/>
        <v>0</v>
      </c>
      <c r="AH210" s="131">
        <f t="shared" si="279"/>
        <v>0</v>
      </c>
      <c r="AI210" s="131">
        <f t="shared" si="280"/>
        <v>0</v>
      </c>
      <c r="AJ210" s="131">
        <f t="shared" si="281"/>
        <v>0</v>
      </c>
      <c r="AK210" s="131"/>
      <c r="AL210" s="131">
        <f t="shared" si="282"/>
        <v>0</v>
      </c>
      <c r="AM210" s="131"/>
      <c r="AN210" s="243">
        <f t="shared" si="283"/>
        <v>0</v>
      </c>
      <c r="AO210" s="131">
        <f t="shared" si="284"/>
        <v>0</v>
      </c>
      <c r="AP210" s="131">
        <f t="shared" si="285"/>
        <v>0</v>
      </c>
      <c r="AQ210" s="131"/>
      <c r="AR210" s="131">
        <f t="shared" si="286"/>
        <v>0</v>
      </c>
      <c r="AS210" s="131">
        <f t="shared" si="332"/>
        <v>0</v>
      </c>
      <c r="AT210" s="131">
        <f t="shared" si="287"/>
        <v>0</v>
      </c>
      <c r="AU210" s="131">
        <f t="shared" si="288"/>
        <v>0</v>
      </c>
      <c r="AV210" s="131"/>
      <c r="AW210" s="131">
        <f t="shared" si="289"/>
        <v>0</v>
      </c>
      <c r="AX210" s="131">
        <f t="shared" ref="AX210:AX226" si="343">IF(A209=0," ",AX209)</f>
        <v>0</v>
      </c>
      <c r="AY210" s="131">
        <f t="shared" si="290"/>
        <v>0</v>
      </c>
      <c r="AZ210" s="131"/>
      <c r="BA210" s="131">
        <f t="shared" ref="BA210:BA226" si="344">IF(A209=0," ",BA209)</f>
        <v>0</v>
      </c>
      <c r="BB210" s="131"/>
      <c r="BC210" s="131"/>
      <c r="BD210" s="131">
        <f t="shared" si="291"/>
        <v>0</v>
      </c>
      <c r="BE210" s="131"/>
      <c r="BF210" s="131">
        <f t="shared" si="333"/>
        <v>0</v>
      </c>
      <c r="BG210" s="131">
        <f t="shared" si="334"/>
        <v>0</v>
      </c>
      <c r="BH210" s="131"/>
      <c r="BI210" s="131"/>
      <c r="BJ210" s="131"/>
      <c r="BK210" s="131">
        <f t="shared" si="335"/>
        <v>0</v>
      </c>
      <c r="BL210" s="131"/>
      <c r="BM210" s="131"/>
      <c r="BN210" s="131">
        <f t="shared" si="336"/>
        <v>0</v>
      </c>
      <c r="BO210" s="131"/>
      <c r="BP210" s="131">
        <f t="shared" si="337"/>
        <v>0</v>
      </c>
      <c r="BQ210" s="131"/>
      <c r="BR210" s="131"/>
      <c r="BS210" s="131"/>
      <c r="BT210" s="131"/>
      <c r="BU210" s="131"/>
      <c r="BV210" s="131">
        <f t="shared" si="338"/>
        <v>0</v>
      </c>
      <c r="BW210" s="131"/>
      <c r="BX210" s="131"/>
      <c r="BY210" s="131"/>
      <c r="BZ210" s="131">
        <f t="shared" si="339"/>
        <v>0</v>
      </c>
      <c r="CA210" s="131"/>
      <c r="CB210" s="136">
        <f t="shared" si="292"/>
        <v>160.55836672570746</v>
      </c>
      <c r="CC210" s="131">
        <f t="shared" si="293"/>
        <v>0</v>
      </c>
      <c r="CD210" s="136">
        <f t="shared" si="294"/>
        <v>0</v>
      </c>
      <c r="CE210" s="131">
        <f t="shared" si="342"/>
        <v>0</v>
      </c>
      <c r="CF210" s="136">
        <f t="shared" si="295"/>
        <v>0</v>
      </c>
      <c r="CG210" s="136"/>
      <c r="CH210" s="136">
        <f t="shared" si="341"/>
        <v>0</v>
      </c>
      <c r="CI210" s="131">
        <f t="shared" si="296"/>
        <v>0</v>
      </c>
      <c r="CJ210" s="131"/>
      <c r="CK210" s="136">
        <f t="shared" si="297"/>
        <v>0</v>
      </c>
      <c r="CL210" s="136">
        <f t="shared" si="298"/>
        <v>804.25411383551102</v>
      </c>
      <c r="CM210" s="131">
        <f t="shared" si="299"/>
        <v>0</v>
      </c>
      <c r="CN210" s="136">
        <f t="shared" si="300"/>
        <v>0</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f t="shared" si="306"/>
        <v>0</v>
      </c>
      <c r="DC210" s="131">
        <f t="shared" si="266"/>
        <v>0</v>
      </c>
      <c r="DD210" s="131">
        <f t="shared" si="307"/>
        <v>0</v>
      </c>
      <c r="DE210" s="131">
        <f t="shared" si="308"/>
        <v>0</v>
      </c>
      <c r="DF210" s="131">
        <f t="shared" si="309"/>
        <v>0</v>
      </c>
      <c r="DG210" s="131">
        <f t="shared" si="310"/>
        <v>0</v>
      </c>
      <c r="DH210" s="131"/>
      <c r="DI210" s="131"/>
      <c r="DJ210" s="131"/>
      <c r="DK210" s="137">
        <f t="shared" si="340"/>
        <v>4620.5129979953599</v>
      </c>
      <c r="DL210" s="227" t="e">
        <f t="shared" si="311"/>
        <v>#REF!</v>
      </c>
      <c r="DM210" s="227" t="e">
        <f t="shared" si="312"/>
        <v>#REF!</v>
      </c>
      <c r="DN210" s="228" t="e">
        <f t="shared" si="267"/>
        <v>#REF!</v>
      </c>
      <c r="DO210" s="228">
        <f t="shared" si="313"/>
        <v>194.35242757490622</v>
      </c>
      <c r="DP210" s="228" t="e">
        <f t="shared" si="314"/>
        <v>#REF!</v>
      </c>
      <c r="DQ210" s="228" t="e">
        <f t="shared" si="315"/>
        <v>#REF!</v>
      </c>
    </row>
    <row r="211" spans="1:121">
      <c r="A211" s="132">
        <f t="shared" si="265"/>
        <v>201</v>
      </c>
      <c r="B211" s="18">
        <f t="shared" si="316"/>
        <v>201</v>
      </c>
      <c r="C211" s="18">
        <f>IF(A211=0," ",VLOOKUP(B211,'tosafot '!$A$7:$B$234,2,0))</f>
        <v>9.2024000000000008</v>
      </c>
      <c r="D211" s="220">
        <f t="shared" si="317"/>
        <v>228</v>
      </c>
      <c r="E211" s="130">
        <f t="shared" si="318"/>
        <v>12.2026</v>
      </c>
      <c r="F211" s="126">
        <f t="shared" si="319"/>
        <v>22</v>
      </c>
      <c r="G211" s="18" t="str">
        <f t="shared" si="320"/>
        <v>התחבורה</v>
      </c>
      <c r="H211" s="189">
        <f t="shared" si="321"/>
        <v>122</v>
      </c>
      <c r="I211" s="18">
        <f t="shared" si="322"/>
        <v>1</v>
      </c>
      <c r="J211" s="18" t="str">
        <f t="shared" si="323"/>
        <v>מינהלי - עובדי מדינה</v>
      </c>
      <c r="K211" s="189">
        <f t="shared" si="324"/>
        <v>1</v>
      </c>
      <c r="L211" s="18">
        <f t="shared" si="325"/>
        <v>12</v>
      </c>
      <c r="M211" s="129" t="str">
        <f t="shared" si="326"/>
        <v>17+</v>
      </c>
      <c r="N211" s="189"/>
      <c r="O211" s="132">
        <f t="shared" si="327"/>
        <v>1012</v>
      </c>
      <c r="P211" s="127">
        <f t="shared" si="328"/>
        <v>37</v>
      </c>
      <c r="Q211" s="127">
        <f t="shared" si="329"/>
        <v>36.75</v>
      </c>
      <c r="R211" s="128">
        <f t="shared" si="330"/>
        <v>148</v>
      </c>
      <c r="S211" s="130">
        <f t="shared" si="331"/>
        <v>1.4414995494685181</v>
      </c>
      <c r="T211" s="135">
        <f t="shared" si="268"/>
        <v>0</v>
      </c>
      <c r="U211" s="127">
        <f t="shared" si="269"/>
        <v>0</v>
      </c>
      <c r="V211" s="217">
        <v>0</v>
      </c>
      <c r="W211" s="191">
        <v>0</v>
      </c>
      <c r="X211" s="133">
        <v>0</v>
      </c>
      <c r="Y211" s="131">
        <f t="shared" si="270"/>
        <v>2438.5</v>
      </c>
      <c r="Z211" s="131">
        <f t="shared" si="271"/>
        <v>1076.5966513789815</v>
      </c>
      <c r="AA211" s="242">
        <f t="shared" si="272"/>
        <v>3515.0966513789817</v>
      </c>
      <c r="AB211" s="131">
        <f t="shared" si="273"/>
        <v>0</v>
      </c>
      <c r="AC211" s="131">
        <f t="shared" si="274"/>
        <v>140.60386605515927</v>
      </c>
      <c r="AD211" s="131">
        <f t="shared" si="275"/>
        <v>0</v>
      </c>
      <c r="AE211" s="131">
        <f t="shared" si="276"/>
        <v>0</v>
      </c>
      <c r="AF211" s="131">
        <f t="shared" si="277"/>
        <v>0</v>
      </c>
      <c r="AG211" s="131">
        <f t="shared" si="278"/>
        <v>0</v>
      </c>
      <c r="AH211" s="131">
        <f t="shared" si="279"/>
        <v>0</v>
      </c>
      <c r="AI211" s="131">
        <f t="shared" si="280"/>
        <v>0</v>
      </c>
      <c r="AJ211" s="131">
        <f t="shared" si="281"/>
        <v>0</v>
      </c>
      <c r="AK211" s="131"/>
      <c r="AL211" s="131">
        <f t="shared" si="282"/>
        <v>0</v>
      </c>
      <c r="AM211" s="131"/>
      <c r="AN211" s="243">
        <f t="shared" si="283"/>
        <v>0</v>
      </c>
      <c r="AO211" s="131">
        <f t="shared" si="284"/>
        <v>0</v>
      </c>
      <c r="AP211" s="131">
        <f t="shared" si="285"/>
        <v>0</v>
      </c>
      <c r="AQ211" s="131"/>
      <c r="AR211" s="131">
        <f t="shared" si="286"/>
        <v>0</v>
      </c>
      <c r="AS211" s="131">
        <f t="shared" si="332"/>
        <v>0</v>
      </c>
      <c r="AT211" s="131">
        <f t="shared" si="287"/>
        <v>0</v>
      </c>
      <c r="AU211" s="131">
        <f t="shared" si="288"/>
        <v>0</v>
      </c>
      <c r="AV211" s="131"/>
      <c r="AW211" s="131">
        <f t="shared" si="289"/>
        <v>0</v>
      </c>
      <c r="AX211" s="131">
        <f t="shared" si="343"/>
        <v>0</v>
      </c>
      <c r="AY211" s="131">
        <f t="shared" si="290"/>
        <v>0</v>
      </c>
      <c r="AZ211" s="131"/>
      <c r="BA211" s="131">
        <f t="shared" si="344"/>
        <v>0</v>
      </c>
      <c r="BB211" s="131"/>
      <c r="BC211" s="131"/>
      <c r="BD211" s="131">
        <f t="shared" si="291"/>
        <v>0</v>
      </c>
      <c r="BE211" s="131"/>
      <c r="BF211" s="131">
        <f t="shared" si="333"/>
        <v>0</v>
      </c>
      <c r="BG211" s="131">
        <f t="shared" si="334"/>
        <v>0</v>
      </c>
      <c r="BH211" s="131"/>
      <c r="BI211" s="131"/>
      <c r="BJ211" s="131"/>
      <c r="BK211" s="131">
        <f t="shared" si="335"/>
        <v>0</v>
      </c>
      <c r="BL211" s="131"/>
      <c r="BM211" s="131"/>
      <c r="BN211" s="131">
        <f t="shared" si="336"/>
        <v>0</v>
      </c>
      <c r="BO211" s="131"/>
      <c r="BP211" s="131">
        <f t="shared" si="337"/>
        <v>0</v>
      </c>
      <c r="BQ211" s="131"/>
      <c r="BR211" s="131"/>
      <c r="BS211" s="131"/>
      <c r="BT211" s="131"/>
      <c r="BU211" s="131"/>
      <c r="BV211" s="131">
        <f t="shared" si="338"/>
        <v>0</v>
      </c>
      <c r="BW211" s="131"/>
      <c r="BX211" s="131"/>
      <c r="BY211" s="131"/>
      <c r="BZ211" s="131">
        <f t="shared" si="339"/>
        <v>0</v>
      </c>
      <c r="CA211" s="131"/>
      <c r="CB211" s="136">
        <f t="shared" si="292"/>
        <v>160.55836672570746</v>
      </c>
      <c r="CC211" s="131">
        <f t="shared" si="293"/>
        <v>0</v>
      </c>
      <c r="CD211" s="136">
        <f t="shared" si="294"/>
        <v>0</v>
      </c>
      <c r="CE211" s="131">
        <f t="shared" si="342"/>
        <v>0</v>
      </c>
      <c r="CF211" s="136">
        <f t="shared" si="295"/>
        <v>0</v>
      </c>
      <c r="CG211" s="136"/>
      <c r="CH211" s="136">
        <f t="shared" si="341"/>
        <v>0</v>
      </c>
      <c r="CI211" s="131">
        <f t="shared" si="296"/>
        <v>0</v>
      </c>
      <c r="CJ211" s="131"/>
      <c r="CK211" s="136">
        <f t="shared" si="297"/>
        <v>0</v>
      </c>
      <c r="CL211" s="136">
        <f t="shared" si="298"/>
        <v>804.25411383551102</v>
      </c>
      <c r="CM211" s="131">
        <f t="shared" si="299"/>
        <v>0</v>
      </c>
      <c r="CN211" s="136">
        <f t="shared" si="300"/>
        <v>0</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f t="shared" si="306"/>
        <v>0</v>
      </c>
      <c r="DC211" s="131">
        <f t="shared" si="266"/>
        <v>0</v>
      </c>
      <c r="DD211" s="131">
        <f t="shared" si="307"/>
        <v>0</v>
      </c>
      <c r="DE211" s="131">
        <f t="shared" si="308"/>
        <v>0</v>
      </c>
      <c r="DF211" s="131">
        <f t="shared" si="309"/>
        <v>0</v>
      </c>
      <c r="DG211" s="131">
        <f t="shared" si="310"/>
        <v>0</v>
      </c>
      <c r="DH211" s="131"/>
      <c r="DI211" s="131"/>
      <c r="DJ211" s="131"/>
      <c r="DK211" s="137">
        <f t="shared" si="340"/>
        <v>4620.5129979953599</v>
      </c>
      <c r="DL211" s="227" t="e">
        <f t="shared" si="311"/>
        <v>#REF!</v>
      </c>
      <c r="DM211" s="227" t="e">
        <f t="shared" si="312"/>
        <v>#REF!</v>
      </c>
      <c r="DN211" s="228" t="e">
        <f t="shared" si="267"/>
        <v>#REF!</v>
      </c>
      <c r="DO211" s="228">
        <f t="shared" si="313"/>
        <v>194.35242757490622</v>
      </c>
      <c r="DP211" s="228" t="e">
        <f t="shared" si="314"/>
        <v>#REF!</v>
      </c>
      <c r="DQ211" s="228" t="e">
        <f t="shared" si="315"/>
        <v>#REF!</v>
      </c>
    </row>
    <row r="212" spans="1:121">
      <c r="A212" s="132">
        <f t="shared" si="265"/>
        <v>202</v>
      </c>
      <c r="B212" s="18">
        <f t="shared" si="316"/>
        <v>202</v>
      </c>
      <c r="C212" s="18">
        <f>IF(A212=0," ",VLOOKUP(B212,'tosafot '!$A$7:$B$234,2,0))</f>
        <v>10.202400000000001</v>
      </c>
      <c r="D212" s="220">
        <f t="shared" si="317"/>
        <v>228</v>
      </c>
      <c r="E212" s="130">
        <f t="shared" si="318"/>
        <v>12.2026</v>
      </c>
      <c r="F212" s="126">
        <f t="shared" si="319"/>
        <v>22</v>
      </c>
      <c r="G212" s="18" t="str">
        <f t="shared" si="320"/>
        <v>התחבורה</v>
      </c>
      <c r="H212" s="189">
        <f t="shared" si="321"/>
        <v>122</v>
      </c>
      <c r="I212" s="18">
        <f t="shared" si="322"/>
        <v>1</v>
      </c>
      <c r="J212" s="18" t="str">
        <f t="shared" si="323"/>
        <v>מינהלי - עובדי מדינה</v>
      </c>
      <c r="K212" s="189">
        <f t="shared" si="324"/>
        <v>1</v>
      </c>
      <c r="L212" s="18">
        <f t="shared" si="325"/>
        <v>12</v>
      </c>
      <c r="M212" s="129" t="str">
        <f t="shared" si="326"/>
        <v>17+</v>
      </c>
      <c r="N212" s="189"/>
      <c r="O212" s="132">
        <f t="shared" si="327"/>
        <v>1012</v>
      </c>
      <c r="P212" s="127">
        <f t="shared" si="328"/>
        <v>37</v>
      </c>
      <c r="Q212" s="127">
        <f t="shared" si="329"/>
        <v>36.75</v>
      </c>
      <c r="R212" s="128">
        <f t="shared" si="330"/>
        <v>148</v>
      </c>
      <c r="S212" s="130">
        <f t="shared" si="331"/>
        <v>1.4414995494685181</v>
      </c>
      <c r="T212" s="135">
        <f t="shared" si="268"/>
        <v>0</v>
      </c>
      <c r="U212" s="127">
        <f t="shared" si="269"/>
        <v>0</v>
      </c>
      <c r="V212" s="217">
        <v>0</v>
      </c>
      <c r="W212" s="191">
        <v>0</v>
      </c>
      <c r="X212" s="133">
        <v>0</v>
      </c>
      <c r="Y212" s="131">
        <f t="shared" si="270"/>
        <v>2438.5</v>
      </c>
      <c r="Z212" s="131">
        <f t="shared" si="271"/>
        <v>1076.5966513789815</v>
      </c>
      <c r="AA212" s="242">
        <f t="shared" si="272"/>
        <v>3515.0966513789817</v>
      </c>
      <c r="AB212" s="131">
        <f t="shared" si="273"/>
        <v>0</v>
      </c>
      <c r="AC212" s="131">
        <f t="shared" si="274"/>
        <v>140.60386605515927</v>
      </c>
      <c r="AD212" s="131">
        <f t="shared" si="275"/>
        <v>0</v>
      </c>
      <c r="AE212" s="131">
        <f t="shared" si="276"/>
        <v>0</v>
      </c>
      <c r="AF212" s="131">
        <f t="shared" si="277"/>
        <v>0</v>
      </c>
      <c r="AG212" s="131">
        <f t="shared" si="278"/>
        <v>0</v>
      </c>
      <c r="AH212" s="131">
        <f t="shared" si="279"/>
        <v>0</v>
      </c>
      <c r="AI212" s="131">
        <f t="shared" si="280"/>
        <v>0</v>
      </c>
      <c r="AJ212" s="131">
        <f t="shared" si="281"/>
        <v>0</v>
      </c>
      <c r="AK212" s="131"/>
      <c r="AL212" s="131">
        <f t="shared" si="282"/>
        <v>0</v>
      </c>
      <c r="AM212" s="131"/>
      <c r="AN212" s="243">
        <f t="shared" si="283"/>
        <v>0</v>
      </c>
      <c r="AO212" s="131">
        <f t="shared" si="284"/>
        <v>0</v>
      </c>
      <c r="AP212" s="131">
        <f t="shared" si="285"/>
        <v>0</v>
      </c>
      <c r="AQ212" s="131"/>
      <c r="AR212" s="131">
        <f t="shared" si="286"/>
        <v>0</v>
      </c>
      <c r="AS212" s="131">
        <f t="shared" si="332"/>
        <v>0</v>
      </c>
      <c r="AT212" s="131">
        <f t="shared" si="287"/>
        <v>0</v>
      </c>
      <c r="AU212" s="131">
        <f t="shared" si="288"/>
        <v>0</v>
      </c>
      <c r="AV212" s="131"/>
      <c r="AW212" s="131">
        <f t="shared" si="289"/>
        <v>0</v>
      </c>
      <c r="AX212" s="131">
        <f t="shared" si="343"/>
        <v>0</v>
      </c>
      <c r="AY212" s="131">
        <f t="shared" si="290"/>
        <v>0</v>
      </c>
      <c r="AZ212" s="131"/>
      <c r="BA212" s="131">
        <f t="shared" si="344"/>
        <v>0</v>
      </c>
      <c r="BB212" s="131"/>
      <c r="BC212" s="131"/>
      <c r="BD212" s="131">
        <f t="shared" si="291"/>
        <v>0</v>
      </c>
      <c r="BE212" s="131"/>
      <c r="BF212" s="131">
        <f t="shared" si="333"/>
        <v>0</v>
      </c>
      <c r="BG212" s="131">
        <f t="shared" si="334"/>
        <v>0</v>
      </c>
      <c r="BH212" s="131"/>
      <c r="BI212" s="131"/>
      <c r="BJ212" s="131"/>
      <c r="BK212" s="131">
        <f t="shared" si="335"/>
        <v>0</v>
      </c>
      <c r="BL212" s="131"/>
      <c r="BM212" s="131"/>
      <c r="BN212" s="131">
        <f t="shared" si="336"/>
        <v>0</v>
      </c>
      <c r="BO212" s="131"/>
      <c r="BP212" s="131">
        <f t="shared" si="337"/>
        <v>0</v>
      </c>
      <c r="BQ212" s="131"/>
      <c r="BR212" s="131"/>
      <c r="BS212" s="131"/>
      <c r="BT212" s="131"/>
      <c r="BU212" s="131"/>
      <c r="BV212" s="131">
        <f t="shared" si="338"/>
        <v>0</v>
      </c>
      <c r="BW212" s="131"/>
      <c r="BX212" s="131"/>
      <c r="BY212" s="131"/>
      <c r="BZ212" s="131">
        <f t="shared" si="339"/>
        <v>0</v>
      </c>
      <c r="CA212" s="131"/>
      <c r="CB212" s="136">
        <f t="shared" si="292"/>
        <v>160.55836672570746</v>
      </c>
      <c r="CC212" s="131">
        <f t="shared" si="293"/>
        <v>0</v>
      </c>
      <c r="CD212" s="136">
        <f t="shared" si="294"/>
        <v>0</v>
      </c>
      <c r="CE212" s="131">
        <f t="shared" si="342"/>
        <v>0</v>
      </c>
      <c r="CF212" s="136">
        <f t="shared" si="295"/>
        <v>0</v>
      </c>
      <c r="CG212" s="136"/>
      <c r="CH212" s="136">
        <f t="shared" si="341"/>
        <v>0</v>
      </c>
      <c r="CI212" s="131">
        <f t="shared" si="296"/>
        <v>0</v>
      </c>
      <c r="CJ212" s="131"/>
      <c r="CK212" s="136">
        <f t="shared" si="297"/>
        <v>0</v>
      </c>
      <c r="CL212" s="136">
        <f t="shared" si="298"/>
        <v>804.25411383551102</v>
      </c>
      <c r="CM212" s="131">
        <f t="shared" si="299"/>
        <v>0</v>
      </c>
      <c r="CN212" s="136">
        <f t="shared" si="300"/>
        <v>0</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f t="shared" si="306"/>
        <v>0</v>
      </c>
      <c r="DC212" s="131">
        <f t="shared" si="266"/>
        <v>0</v>
      </c>
      <c r="DD212" s="131">
        <f t="shared" si="307"/>
        <v>0</v>
      </c>
      <c r="DE212" s="131">
        <f t="shared" si="308"/>
        <v>0</v>
      </c>
      <c r="DF212" s="131">
        <f t="shared" si="309"/>
        <v>0</v>
      </c>
      <c r="DG212" s="131">
        <f t="shared" si="310"/>
        <v>0</v>
      </c>
      <c r="DH212" s="131"/>
      <c r="DI212" s="131"/>
      <c r="DJ212" s="131"/>
      <c r="DK212" s="137">
        <f t="shared" si="340"/>
        <v>4620.5129979953599</v>
      </c>
      <c r="DL212" s="227" t="e">
        <f t="shared" si="311"/>
        <v>#REF!</v>
      </c>
      <c r="DM212" s="227" t="e">
        <f t="shared" si="312"/>
        <v>#REF!</v>
      </c>
      <c r="DN212" s="228" t="e">
        <f t="shared" si="267"/>
        <v>#REF!</v>
      </c>
      <c r="DO212" s="228">
        <f t="shared" si="313"/>
        <v>194.35242757490622</v>
      </c>
      <c r="DP212" s="228" t="e">
        <f t="shared" si="314"/>
        <v>#REF!</v>
      </c>
      <c r="DQ212" s="228" t="e">
        <f t="shared" si="315"/>
        <v>#REF!</v>
      </c>
    </row>
    <row r="213" spans="1:121">
      <c r="A213" s="132">
        <f t="shared" si="265"/>
        <v>203</v>
      </c>
      <c r="B213" s="18">
        <f t="shared" si="316"/>
        <v>203</v>
      </c>
      <c r="C213" s="18">
        <f>IF(A213=0," ",VLOOKUP(B213,'tosafot '!$A$7:$B$234,2,0))</f>
        <v>11.202400000000001</v>
      </c>
      <c r="D213" s="220">
        <f t="shared" si="317"/>
        <v>228</v>
      </c>
      <c r="E213" s="130">
        <f t="shared" si="318"/>
        <v>12.2026</v>
      </c>
      <c r="F213" s="126">
        <f t="shared" si="319"/>
        <v>22</v>
      </c>
      <c r="G213" s="18" t="str">
        <f t="shared" si="320"/>
        <v>התחבורה</v>
      </c>
      <c r="H213" s="189">
        <f t="shared" si="321"/>
        <v>122</v>
      </c>
      <c r="I213" s="18">
        <f t="shared" si="322"/>
        <v>1</v>
      </c>
      <c r="J213" s="18" t="str">
        <f t="shared" si="323"/>
        <v>מינהלי - עובדי מדינה</v>
      </c>
      <c r="K213" s="189">
        <f t="shared" si="324"/>
        <v>1</v>
      </c>
      <c r="L213" s="18">
        <f t="shared" si="325"/>
        <v>12</v>
      </c>
      <c r="M213" s="129" t="str">
        <f t="shared" si="326"/>
        <v>17+</v>
      </c>
      <c r="N213" s="189"/>
      <c r="O213" s="132">
        <f t="shared" si="327"/>
        <v>1012</v>
      </c>
      <c r="P213" s="127">
        <f t="shared" si="328"/>
        <v>37</v>
      </c>
      <c r="Q213" s="127">
        <f t="shared" si="329"/>
        <v>36.75</v>
      </c>
      <c r="R213" s="128">
        <f t="shared" si="330"/>
        <v>148</v>
      </c>
      <c r="S213" s="130">
        <f t="shared" si="331"/>
        <v>1.4414995494685181</v>
      </c>
      <c r="T213" s="135">
        <f t="shared" si="268"/>
        <v>0</v>
      </c>
      <c r="U213" s="127">
        <f t="shared" si="269"/>
        <v>0</v>
      </c>
      <c r="V213" s="217">
        <v>0</v>
      </c>
      <c r="W213" s="191">
        <v>0</v>
      </c>
      <c r="X213" s="133">
        <v>0</v>
      </c>
      <c r="Y213" s="131">
        <f t="shared" si="270"/>
        <v>2438.5</v>
      </c>
      <c r="Z213" s="131">
        <f t="shared" si="271"/>
        <v>1076.5966513789815</v>
      </c>
      <c r="AA213" s="242">
        <f t="shared" si="272"/>
        <v>3515.0966513789817</v>
      </c>
      <c r="AB213" s="131">
        <f t="shared" si="273"/>
        <v>0</v>
      </c>
      <c r="AC213" s="131">
        <f t="shared" si="274"/>
        <v>140.60386605515927</v>
      </c>
      <c r="AD213" s="131">
        <f t="shared" si="275"/>
        <v>0</v>
      </c>
      <c r="AE213" s="131">
        <f t="shared" si="276"/>
        <v>0</v>
      </c>
      <c r="AF213" s="131">
        <f t="shared" si="277"/>
        <v>0</v>
      </c>
      <c r="AG213" s="131">
        <f t="shared" si="278"/>
        <v>0</v>
      </c>
      <c r="AH213" s="131">
        <f t="shared" si="279"/>
        <v>0</v>
      </c>
      <c r="AI213" s="131">
        <f t="shared" si="280"/>
        <v>0</v>
      </c>
      <c r="AJ213" s="131">
        <f t="shared" si="281"/>
        <v>0</v>
      </c>
      <c r="AK213" s="131"/>
      <c r="AL213" s="131">
        <f t="shared" si="282"/>
        <v>0</v>
      </c>
      <c r="AM213" s="131"/>
      <c r="AN213" s="243">
        <f t="shared" si="283"/>
        <v>0</v>
      </c>
      <c r="AO213" s="131">
        <f t="shared" si="284"/>
        <v>0</v>
      </c>
      <c r="AP213" s="131">
        <f t="shared" si="285"/>
        <v>0</v>
      </c>
      <c r="AQ213" s="131"/>
      <c r="AR213" s="131">
        <f t="shared" si="286"/>
        <v>0</v>
      </c>
      <c r="AS213" s="131">
        <f t="shared" si="332"/>
        <v>0</v>
      </c>
      <c r="AT213" s="131">
        <f t="shared" si="287"/>
        <v>0</v>
      </c>
      <c r="AU213" s="131">
        <f t="shared" si="288"/>
        <v>0</v>
      </c>
      <c r="AV213" s="131"/>
      <c r="AW213" s="131">
        <f t="shared" si="289"/>
        <v>0</v>
      </c>
      <c r="AX213" s="131">
        <f t="shared" si="343"/>
        <v>0</v>
      </c>
      <c r="AY213" s="131">
        <f t="shared" si="290"/>
        <v>0</v>
      </c>
      <c r="AZ213" s="131"/>
      <c r="BA213" s="131">
        <f t="shared" si="344"/>
        <v>0</v>
      </c>
      <c r="BB213" s="131"/>
      <c r="BC213" s="131"/>
      <c r="BD213" s="131">
        <f t="shared" si="291"/>
        <v>0</v>
      </c>
      <c r="BE213" s="131"/>
      <c r="BF213" s="131">
        <f t="shared" si="333"/>
        <v>0</v>
      </c>
      <c r="BG213" s="131">
        <f t="shared" si="334"/>
        <v>0</v>
      </c>
      <c r="BH213" s="131"/>
      <c r="BI213" s="131"/>
      <c r="BJ213" s="131"/>
      <c r="BK213" s="131">
        <f t="shared" si="335"/>
        <v>0</v>
      </c>
      <c r="BL213" s="131"/>
      <c r="BM213" s="131"/>
      <c r="BN213" s="131">
        <f t="shared" si="336"/>
        <v>0</v>
      </c>
      <c r="BO213" s="131"/>
      <c r="BP213" s="131">
        <f t="shared" si="337"/>
        <v>0</v>
      </c>
      <c r="BQ213" s="131"/>
      <c r="BR213" s="131"/>
      <c r="BS213" s="131"/>
      <c r="BT213" s="131"/>
      <c r="BU213" s="131"/>
      <c r="BV213" s="131">
        <f t="shared" si="338"/>
        <v>0</v>
      </c>
      <c r="BW213" s="131"/>
      <c r="BX213" s="131"/>
      <c r="BY213" s="131"/>
      <c r="BZ213" s="131">
        <f t="shared" si="339"/>
        <v>0</v>
      </c>
      <c r="CA213" s="131"/>
      <c r="CB213" s="136">
        <f t="shared" si="292"/>
        <v>160.55836672570746</v>
      </c>
      <c r="CC213" s="131">
        <f t="shared" si="293"/>
        <v>0</v>
      </c>
      <c r="CD213" s="136">
        <f t="shared" si="294"/>
        <v>0</v>
      </c>
      <c r="CE213" s="131">
        <f t="shared" si="342"/>
        <v>0</v>
      </c>
      <c r="CF213" s="136">
        <f t="shared" si="295"/>
        <v>0</v>
      </c>
      <c r="CG213" s="136"/>
      <c r="CH213" s="136">
        <f t="shared" si="341"/>
        <v>0</v>
      </c>
      <c r="CI213" s="131">
        <f t="shared" si="296"/>
        <v>0</v>
      </c>
      <c r="CJ213" s="131"/>
      <c r="CK213" s="136">
        <f t="shared" si="297"/>
        <v>0</v>
      </c>
      <c r="CL213" s="136">
        <f t="shared" si="298"/>
        <v>804.25411383551102</v>
      </c>
      <c r="CM213" s="131">
        <f t="shared" si="299"/>
        <v>0</v>
      </c>
      <c r="CN213" s="136">
        <f t="shared" si="300"/>
        <v>0</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f t="shared" si="306"/>
        <v>0</v>
      </c>
      <c r="DC213" s="131">
        <f t="shared" si="266"/>
        <v>0</v>
      </c>
      <c r="DD213" s="131">
        <f t="shared" si="307"/>
        <v>0</v>
      </c>
      <c r="DE213" s="131">
        <f t="shared" si="308"/>
        <v>0</v>
      </c>
      <c r="DF213" s="131">
        <f t="shared" si="309"/>
        <v>0</v>
      </c>
      <c r="DG213" s="131">
        <f t="shared" si="310"/>
        <v>0</v>
      </c>
      <c r="DH213" s="131"/>
      <c r="DI213" s="131"/>
      <c r="DJ213" s="131"/>
      <c r="DK213" s="137">
        <f t="shared" si="340"/>
        <v>4620.5129979953599</v>
      </c>
      <c r="DL213" s="227" t="e">
        <f t="shared" si="311"/>
        <v>#REF!</v>
      </c>
      <c r="DM213" s="227" t="e">
        <f t="shared" si="312"/>
        <v>#REF!</v>
      </c>
      <c r="DN213" s="228" t="e">
        <f t="shared" si="267"/>
        <v>#REF!</v>
      </c>
      <c r="DO213" s="228">
        <f t="shared" si="313"/>
        <v>194.35242757490622</v>
      </c>
      <c r="DP213" s="228" t="e">
        <f t="shared" si="314"/>
        <v>#REF!</v>
      </c>
      <c r="DQ213" s="228" t="e">
        <f t="shared" si="315"/>
        <v>#REF!</v>
      </c>
    </row>
    <row r="214" spans="1:121">
      <c r="A214" s="132">
        <f t="shared" si="265"/>
        <v>204</v>
      </c>
      <c r="B214" s="18">
        <f t="shared" si="316"/>
        <v>204</v>
      </c>
      <c r="C214" s="18">
        <f>IF(A214=0," ",VLOOKUP(B214,'tosafot '!$A$7:$B$234,2,0))</f>
        <v>12.202400000000001</v>
      </c>
      <c r="D214" s="220">
        <f t="shared" si="317"/>
        <v>228</v>
      </c>
      <c r="E214" s="130">
        <f t="shared" si="318"/>
        <v>12.2026</v>
      </c>
      <c r="F214" s="126">
        <f t="shared" si="319"/>
        <v>22</v>
      </c>
      <c r="G214" s="18" t="str">
        <f t="shared" si="320"/>
        <v>התחבורה</v>
      </c>
      <c r="H214" s="189">
        <f t="shared" si="321"/>
        <v>122</v>
      </c>
      <c r="I214" s="18">
        <f t="shared" si="322"/>
        <v>1</v>
      </c>
      <c r="J214" s="18" t="str">
        <f t="shared" si="323"/>
        <v>מינהלי - עובדי מדינה</v>
      </c>
      <c r="K214" s="189">
        <f t="shared" si="324"/>
        <v>1</v>
      </c>
      <c r="L214" s="18">
        <f t="shared" si="325"/>
        <v>12</v>
      </c>
      <c r="M214" s="129" t="str">
        <f t="shared" si="326"/>
        <v>17+</v>
      </c>
      <c r="N214" s="189"/>
      <c r="O214" s="132">
        <f t="shared" si="327"/>
        <v>1012</v>
      </c>
      <c r="P214" s="127">
        <f t="shared" si="328"/>
        <v>37</v>
      </c>
      <c r="Q214" s="127">
        <f t="shared" si="329"/>
        <v>36.75</v>
      </c>
      <c r="R214" s="128">
        <f t="shared" si="330"/>
        <v>148</v>
      </c>
      <c r="S214" s="130">
        <f t="shared" si="331"/>
        <v>1.4414995494685181</v>
      </c>
      <c r="T214" s="135">
        <f t="shared" si="268"/>
        <v>0</v>
      </c>
      <c r="U214" s="127">
        <f t="shared" si="269"/>
        <v>0</v>
      </c>
      <c r="V214" s="217">
        <v>0</v>
      </c>
      <c r="W214" s="191">
        <v>0</v>
      </c>
      <c r="X214" s="133">
        <v>0</v>
      </c>
      <c r="Y214" s="131">
        <f t="shared" si="270"/>
        <v>2438.5</v>
      </c>
      <c r="Z214" s="131">
        <f t="shared" si="271"/>
        <v>1076.5966513789815</v>
      </c>
      <c r="AA214" s="242">
        <f t="shared" si="272"/>
        <v>3515.0966513789817</v>
      </c>
      <c r="AB214" s="131">
        <f t="shared" si="273"/>
        <v>0</v>
      </c>
      <c r="AC214" s="131">
        <f t="shared" si="274"/>
        <v>140.60386605515927</v>
      </c>
      <c r="AD214" s="131">
        <f t="shared" si="275"/>
        <v>0</v>
      </c>
      <c r="AE214" s="131">
        <f t="shared" si="276"/>
        <v>0</v>
      </c>
      <c r="AF214" s="131">
        <f t="shared" si="277"/>
        <v>0</v>
      </c>
      <c r="AG214" s="131">
        <f t="shared" si="278"/>
        <v>0</v>
      </c>
      <c r="AH214" s="131">
        <f t="shared" si="279"/>
        <v>0</v>
      </c>
      <c r="AI214" s="131">
        <f t="shared" si="280"/>
        <v>0</v>
      </c>
      <c r="AJ214" s="131">
        <f t="shared" si="281"/>
        <v>0</v>
      </c>
      <c r="AK214" s="131"/>
      <c r="AL214" s="131">
        <f t="shared" si="282"/>
        <v>0</v>
      </c>
      <c r="AM214" s="131"/>
      <c r="AN214" s="243">
        <f t="shared" si="283"/>
        <v>0</v>
      </c>
      <c r="AO214" s="131">
        <f t="shared" si="284"/>
        <v>0</v>
      </c>
      <c r="AP214" s="131">
        <f t="shared" si="285"/>
        <v>0</v>
      </c>
      <c r="AQ214" s="131"/>
      <c r="AR214" s="131">
        <f t="shared" si="286"/>
        <v>0</v>
      </c>
      <c r="AS214" s="131">
        <f t="shared" si="332"/>
        <v>0</v>
      </c>
      <c r="AT214" s="131">
        <f t="shared" si="287"/>
        <v>0</v>
      </c>
      <c r="AU214" s="131">
        <f t="shared" si="288"/>
        <v>0</v>
      </c>
      <c r="AV214" s="131"/>
      <c r="AW214" s="131">
        <f t="shared" si="289"/>
        <v>0</v>
      </c>
      <c r="AX214" s="131">
        <f t="shared" si="343"/>
        <v>0</v>
      </c>
      <c r="AY214" s="131">
        <f t="shared" si="290"/>
        <v>0</v>
      </c>
      <c r="AZ214" s="131"/>
      <c r="BA214" s="131">
        <f t="shared" si="344"/>
        <v>0</v>
      </c>
      <c r="BB214" s="131"/>
      <c r="BC214" s="131"/>
      <c r="BD214" s="131">
        <f t="shared" si="291"/>
        <v>0</v>
      </c>
      <c r="BE214" s="131"/>
      <c r="BF214" s="131">
        <f t="shared" si="333"/>
        <v>0</v>
      </c>
      <c r="BG214" s="131">
        <f t="shared" si="334"/>
        <v>0</v>
      </c>
      <c r="BH214" s="131"/>
      <c r="BI214" s="131"/>
      <c r="BJ214" s="131"/>
      <c r="BK214" s="131">
        <f t="shared" si="335"/>
        <v>0</v>
      </c>
      <c r="BL214" s="131"/>
      <c r="BM214" s="131"/>
      <c r="BN214" s="131">
        <f t="shared" si="336"/>
        <v>0</v>
      </c>
      <c r="BO214" s="131"/>
      <c r="BP214" s="131">
        <f t="shared" si="337"/>
        <v>0</v>
      </c>
      <c r="BQ214" s="131"/>
      <c r="BR214" s="131"/>
      <c r="BS214" s="131"/>
      <c r="BT214" s="131"/>
      <c r="BU214" s="131"/>
      <c r="BV214" s="131">
        <f t="shared" si="338"/>
        <v>0</v>
      </c>
      <c r="BW214" s="131"/>
      <c r="BX214" s="131"/>
      <c r="BY214" s="131"/>
      <c r="BZ214" s="131">
        <f t="shared" si="339"/>
        <v>0</v>
      </c>
      <c r="CA214" s="131"/>
      <c r="CB214" s="136">
        <f t="shared" si="292"/>
        <v>160.55836672570746</v>
      </c>
      <c r="CC214" s="131">
        <f t="shared" si="293"/>
        <v>0</v>
      </c>
      <c r="CD214" s="136">
        <f t="shared" si="294"/>
        <v>0</v>
      </c>
      <c r="CE214" s="131">
        <f t="shared" si="342"/>
        <v>0</v>
      </c>
      <c r="CF214" s="136">
        <f t="shared" si="295"/>
        <v>0</v>
      </c>
      <c r="CG214" s="136"/>
      <c r="CH214" s="136">
        <f t="shared" si="341"/>
        <v>0</v>
      </c>
      <c r="CI214" s="131">
        <f t="shared" si="296"/>
        <v>0</v>
      </c>
      <c r="CJ214" s="131"/>
      <c r="CK214" s="136">
        <f t="shared" si="297"/>
        <v>0</v>
      </c>
      <c r="CL214" s="136">
        <f t="shared" si="298"/>
        <v>804.25411383551102</v>
      </c>
      <c r="CM214" s="131">
        <f t="shared" si="299"/>
        <v>0</v>
      </c>
      <c r="CN214" s="136">
        <f t="shared" si="300"/>
        <v>0</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f t="shared" si="306"/>
        <v>0</v>
      </c>
      <c r="DC214" s="131">
        <f t="shared" si="266"/>
        <v>0</v>
      </c>
      <c r="DD214" s="131">
        <f t="shared" si="307"/>
        <v>0</v>
      </c>
      <c r="DE214" s="131">
        <f t="shared" si="308"/>
        <v>0</v>
      </c>
      <c r="DF214" s="131">
        <f t="shared" si="309"/>
        <v>0</v>
      </c>
      <c r="DG214" s="131">
        <f t="shared" si="310"/>
        <v>0</v>
      </c>
      <c r="DH214" s="131"/>
      <c r="DI214" s="131"/>
      <c r="DJ214" s="131"/>
      <c r="DK214" s="137">
        <f t="shared" si="340"/>
        <v>4620.5129979953599</v>
      </c>
      <c r="DL214" s="227" t="e">
        <f t="shared" si="311"/>
        <v>#REF!</v>
      </c>
      <c r="DM214" s="227" t="e">
        <f t="shared" si="312"/>
        <v>#REF!</v>
      </c>
      <c r="DN214" s="228" t="e">
        <f t="shared" si="267"/>
        <v>#REF!</v>
      </c>
      <c r="DO214" s="228">
        <f t="shared" si="313"/>
        <v>194.35242757490622</v>
      </c>
      <c r="DP214" s="228" t="e">
        <f t="shared" si="314"/>
        <v>#REF!</v>
      </c>
      <c r="DQ214" s="228" t="e">
        <f t="shared" si="315"/>
        <v>#REF!</v>
      </c>
    </row>
    <row r="215" spans="1:121">
      <c r="A215" s="132">
        <f t="shared" si="265"/>
        <v>205</v>
      </c>
      <c r="B215" s="18">
        <f t="shared" si="316"/>
        <v>205</v>
      </c>
      <c r="C215" s="18">
        <f>IF(A215=0," ",VLOOKUP(B215,'tosafot '!$A$7:$B$234,2,0))</f>
        <v>1.2024999999999999</v>
      </c>
      <c r="D215" s="220">
        <f t="shared" si="317"/>
        <v>228</v>
      </c>
      <c r="E215" s="130">
        <f t="shared" si="318"/>
        <v>12.2026</v>
      </c>
      <c r="F215" s="126">
        <f t="shared" si="319"/>
        <v>22</v>
      </c>
      <c r="G215" s="18" t="str">
        <f t="shared" si="320"/>
        <v>התחבורה</v>
      </c>
      <c r="H215" s="189">
        <f t="shared" si="321"/>
        <v>122</v>
      </c>
      <c r="I215" s="18">
        <f t="shared" si="322"/>
        <v>1</v>
      </c>
      <c r="J215" s="18" t="str">
        <f t="shared" si="323"/>
        <v>מינהלי - עובדי מדינה</v>
      </c>
      <c r="K215" s="189">
        <f t="shared" si="324"/>
        <v>1</v>
      </c>
      <c r="L215" s="18">
        <f t="shared" si="325"/>
        <v>12</v>
      </c>
      <c r="M215" s="129" t="str">
        <f t="shared" si="326"/>
        <v>17+</v>
      </c>
      <c r="N215" s="189"/>
      <c r="O215" s="132">
        <f t="shared" si="327"/>
        <v>1012</v>
      </c>
      <c r="P215" s="127">
        <f t="shared" si="328"/>
        <v>37</v>
      </c>
      <c r="Q215" s="127">
        <f t="shared" si="329"/>
        <v>36.75</v>
      </c>
      <c r="R215" s="128">
        <f t="shared" si="330"/>
        <v>148</v>
      </c>
      <c r="S215" s="130">
        <f t="shared" si="331"/>
        <v>1.4414995494685181</v>
      </c>
      <c r="T215" s="135">
        <f t="shared" si="268"/>
        <v>0</v>
      </c>
      <c r="U215" s="127">
        <f t="shared" si="269"/>
        <v>0</v>
      </c>
      <c r="V215" s="217">
        <v>0</v>
      </c>
      <c r="W215" s="191">
        <v>0</v>
      </c>
      <c r="X215" s="133">
        <v>0</v>
      </c>
      <c r="Y215" s="131">
        <f t="shared" si="270"/>
        <v>2438.5</v>
      </c>
      <c r="Z215" s="131">
        <f t="shared" si="271"/>
        <v>1076.5966513789815</v>
      </c>
      <c r="AA215" s="242">
        <f t="shared" si="272"/>
        <v>3515.0966513789817</v>
      </c>
      <c r="AB215" s="131">
        <f t="shared" si="273"/>
        <v>0</v>
      </c>
      <c r="AC215" s="131">
        <f t="shared" si="274"/>
        <v>140.60386605515927</v>
      </c>
      <c r="AD215" s="131">
        <f t="shared" si="275"/>
        <v>0</v>
      </c>
      <c r="AE215" s="131">
        <f t="shared" si="276"/>
        <v>0</v>
      </c>
      <c r="AF215" s="131">
        <f t="shared" si="277"/>
        <v>0</v>
      </c>
      <c r="AG215" s="131">
        <f t="shared" si="278"/>
        <v>0</v>
      </c>
      <c r="AH215" s="131">
        <f t="shared" si="279"/>
        <v>0</v>
      </c>
      <c r="AI215" s="131">
        <f t="shared" si="280"/>
        <v>0</v>
      </c>
      <c r="AJ215" s="131">
        <f t="shared" si="281"/>
        <v>0</v>
      </c>
      <c r="AK215" s="131"/>
      <c r="AL215" s="131">
        <f t="shared" si="282"/>
        <v>0</v>
      </c>
      <c r="AM215" s="131"/>
      <c r="AN215" s="243">
        <f t="shared" si="283"/>
        <v>0</v>
      </c>
      <c r="AO215" s="131">
        <f t="shared" si="284"/>
        <v>0</v>
      </c>
      <c r="AP215" s="131">
        <f t="shared" si="285"/>
        <v>0</v>
      </c>
      <c r="AQ215" s="131"/>
      <c r="AR215" s="131">
        <f t="shared" si="286"/>
        <v>0</v>
      </c>
      <c r="AS215" s="131">
        <f t="shared" si="332"/>
        <v>0</v>
      </c>
      <c r="AT215" s="131">
        <f t="shared" si="287"/>
        <v>0</v>
      </c>
      <c r="AU215" s="131">
        <f t="shared" si="288"/>
        <v>0</v>
      </c>
      <c r="AV215" s="131"/>
      <c r="AW215" s="131">
        <f t="shared" si="289"/>
        <v>0</v>
      </c>
      <c r="AX215" s="131">
        <f t="shared" si="343"/>
        <v>0</v>
      </c>
      <c r="AY215" s="131">
        <f t="shared" si="290"/>
        <v>0</v>
      </c>
      <c r="AZ215" s="131"/>
      <c r="BA215" s="131">
        <f t="shared" si="344"/>
        <v>0</v>
      </c>
      <c r="BB215" s="131"/>
      <c r="BC215" s="131"/>
      <c r="BD215" s="131">
        <f t="shared" si="291"/>
        <v>0</v>
      </c>
      <c r="BE215" s="131"/>
      <c r="BF215" s="131">
        <f t="shared" si="333"/>
        <v>0</v>
      </c>
      <c r="BG215" s="131">
        <f t="shared" si="334"/>
        <v>0</v>
      </c>
      <c r="BH215" s="131"/>
      <c r="BI215" s="131"/>
      <c r="BJ215" s="131"/>
      <c r="BK215" s="131">
        <f t="shared" si="335"/>
        <v>0</v>
      </c>
      <c r="BL215" s="131"/>
      <c r="BM215" s="131"/>
      <c r="BN215" s="131">
        <f t="shared" si="336"/>
        <v>0</v>
      </c>
      <c r="BO215" s="131"/>
      <c r="BP215" s="131">
        <f t="shared" si="337"/>
        <v>0</v>
      </c>
      <c r="BQ215" s="131"/>
      <c r="BR215" s="131"/>
      <c r="BS215" s="131"/>
      <c r="BT215" s="131"/>
      <c r="BU215" s="131"/>
      <c r="BV215" s="131">
        <f t="shared" si="338"/>
        <v>0</v>
      </c>
      <c r="BW215" s="131"/>
      <c r="BX215" s="131"/>
      <c r="BY215" s="131"/>
      <c r="BZ215" s="131">
        <f t="shared" si="339"/>
        <v>0</v>
      </c>
      <c r="CA215" s="131"/>
      <c r="CB215" s="136">
        <f t="shared" si="292"/>
        <v>160.55836672570746</v>
      </c>
      <c r="CC215" s="131">
        <f t="shared" si="293"/>
        <v>0</v>
      </c>
      <c r="CD215" s="136">
        <f t="shared" si="294"/>
        <v>0</v>
      </c>
      <c r="CE215" s="131">
        <f t="shared" si="342"/>
        <v>0</v>
      </c>
      <c r="CF215" s="136">
        <f t="shared" si="295"/>
        <v>0</v>
      </c>
      <c r="CG215" s="136"/>
      <c r="CH215" s="136">
        <f t="shared" si="341"/>
        <v>0</v>
      </c>
      <c r="CI215" s="131">
        <f t="shared" si="296"/>
        <v>0</v>
      </c>
      <c r="CJ215" s="131"/>
      <c r="CK215" s="136">
        <f t="shared" si="297"/>
        <v>0</v>
      </c>
      <c r="CL215" s="136">
        <f t="shared" si="298"/>
        <v>804.25411383551102</v>
      </c>
      <c r="CM215" s="131">
        <f t="shared" si="299"/>
        <v>0</v>
      </c>
      <c r="CN215" s="136">
        <f t="shared" si="300"/>
        <v>0</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f t="shared" si="306"/>
        <v>0</v>
      </c>
      <c r="DC215" s="131">
        <f t="shared" si="266"/>
        <v>0</v>
      </c>
      <c r="DD215" s="131">
        <f t="shared" si="307"/>
        <v>0</v>
      </c>
      <c r="DE215" s="131">
        <f t="shared" si="308"/>
        <v>0</v>
      </c>
      <c r="DF215" s="131">
        <f t="shared" si="309"/>
        <v>0</v>
      </c>
      <c r="DG215" s="131">
        <f t="shared" si="310"/>
        <v>0</v>
      </c>
      <c r="DH215" s="131"/>
      <c r="DI215" s="131"/>
      <c r="DJ215" s="131"/>
      <c r="DK215" s="137">
        <f t="shared" si="340"/>
        <v>4620.5129979953599</v>
      </c>
      <c r="DL215" s="227" t="e">
        <f t="shared" si="311"/>
        <v>#REF!</v>
      </c>
      <c r="DM215" s="227" t="e">
        <f t="shared" si="312"/>
        <v>#REF!</v>
      </c>
      <c r="DN215" s="228" t="e">
        <f t="shared" si="267"/>
        <v>#REF!</v>
      </c>
      <c r="DO215" s="228">
        <f t="shared" si="313"/>
        <v>194.35242757490622</v>
      </c>
      <c r="DP215" s="228" t="e">
        <f t="shared" si="314"/>
        <v>#REF!</v>
      </c>
      <c r="DQ215" s="228" t="e">
        <f t="shared" si="315"/>
        <v>#REF!</v>
      </c>
    </row>
    <row r="216" spans="1:121">
      <c r="A216" s="132">
        <f t="shared" si="265"/>
        <v>206</v>
      </c>
      <c r="B216" s="18">
        <f t="shared" si="316"/>
        <v>206</v>
      </c>
      <c r="C216" s="18">
        <f>IF(A216=0," ",VLOOKUP(B216,'tosafot '!$A$7:$B$234,2,0))</f>
        <v>2.2025000000000001</v>
      </c>
      <c r="D216" s="220">
        <f t="shared" si="317"/>
        <v>228</v>
      </c>
      <c r="E216" s="130">
        <f t="shared" si="318"/>
        <v>12.2026</v>
      </c>
      <c r="F216" s="126">
        <f t="shared" si="319"/>
        <v>22</v>
      </c>
      <c r="G216" s="18" t="str">
        <f t="shared" si="320"/>
        <v>התחבורה</v>
      </c>
      <c r="H216" s="189">
        <f t="shared" si="321"/>
        <v>122</v>
      </c>
      <c r="I216" s="18">
        <f t="shared" si="322"/>
        <v>1</v>
      </c>
      <c r="J216" s="18" t="str">
        <f t="shared" si="323"/>
        <v>מינהלי - עובדי מדינה</v>
      </c>
      <c r="K216" s="189">
        <f t="shared" si="324"/>
        <v>1</v>
      </c>
      <c r="L216" s="18">
        <f t="shared" si="325"/>
        <v>12</v>
      </c>
      <c r="M216" s="129" t="str">
        <f t="shared" si="326"/>
        <v>17+</v>
      </c>
      <c r="N216" s="189"/>
      <c r="O216" s="132">
        <f t="shared" si="327"/>
        <v>1012</v>
      </c>
      <c r="P216" s="127">
        <f t="shared" si="328"/>
        <v>37</v>
      </c>
      <c r="Q216" s="127">
        <f t="shared" si="329"/>
        <v>36.75</v>
      </c>
      <c r="R216" s="128">
        <f t="shared" si="330"/>
        <v>148</v>
      </c>
      <c r="S216" s="130">
        <f t="shared" si="331"/>
        <v>1.4414995494685181</v>
      </c>
      <c r="T216" s="135">
        <f t="shared" si="268"/>
        <v>0</v>
      </c>
      <c r="U216" s="127">
        <f t="shared" si="269"/>
        <v>0</v>
      </c>
      <c r="V216" s="217">
        <v>0</v>
      </c>
      <c r="W216" s="191">
        <v>0</v>
      </c>
      <c r="X216" s="133">
        <v>0</v>
      </c>
      <c r="Y216" s="131">
        <f t="shared" si="270"/>
        <v>2438.5</v>
      </c>
      <c r="Z216" s="131">
        <f t="shared" si="271"/>
        <v>1076.5966513789815</v>
      </c>
      <c r="AA216" s="242">
        <f t="shared" si="272"/>
        <v>3515.0966513789817</v>
      </c>
      <c r="AB216" s="131">
        <f t="shared" si="273"/>
        <v>0</v>
      </c>
      <c r="AC216" s="131">
        <f t="shared" si="274"/>
        <v>140.60386605515927</v>
      </c>
      <c r="AD216" s="131">
        <f t="shared" si="275"/>
        <v>0</v>
      </c>
      <c r="AE216" s="131">
        <f t="shared" si="276"/>
        <v>0</v>
      </c>
      <c r="AF216" s="131">
        <f t="shared" si="277"/>
        <v>0</v>
      </c>
      <c r="AG216" s="131">
        <f t="shared" si="278"/>
        <v>0</v>
      </c>
      <c r="AH216" s="131">
        <f t="shared" si="279"/>
        <v>0</v>
      </c>
      <c r="AI216" s="131">
        <f t="shared" si="280"/>
        <v>0</v>
      </c>
      <c r="AJ216" s="131">
        <f t="shared" si="281"/>
        <v>0</v>
      </c>
      <c r="AK216" s="131"/>
      <c r="AL216" s="131">
        <f t="shared" si="282"/>
        <v>0</v>
      </c>
      <c r="AM216" s="131"/>
      <c r="AN216" s="243">
        <f t="shared" si="283"/>
        <v>0</v>
      </c>
      <c r="AO216" s="131">
        <f t="shared" si="284"/>
        <v>0</v>
      </c>
      <c r="AP216" s="131">
        <f t="shared" si="285"/>
        <v>0</v>
      </c>
      <c r="AQ216" s="131"/>
      <c r="AR216" s="131">
        <f t="shared" si="286"/>
        <v>0</v>
      </c>
      <c r="AS216" s="131">
        <f t="shared" si="332"/>
        <v>0</v>
      </c>
      <c r="AT216" s="131">
        <f t="shared" si="287"/>
        <v>0</v>
      </c>
      <c r="AU216" s="131">
        <f t="shared" si="288"/>
        <v>0</v>
      </c>
      <c r="AV216" s="131"/>
      <c r="AW216" s="131">
        <f t="shared" si="289"/>
        <v>0</v>
      </c>
      <c r="AX216" s="131">
        <f t="shared" si="343"/>
        <v>0</v>
      </c>
      <c r="AY216" s="131">
        <f t="shared" si="290"/>
        <v>0</v>
      </c>
      <c r="AZ216" s="131"/>
      <c r="BA216" s="131">
        <f t="shared" si="344"/>
        <v>0</v>
      </c>
      <c r="BB216" s="131"/>
      <c r="BC216" s="131"/>
      <c r="BD216" s="131">
        <f t="shared" si="291"/>
        <v>0</v>
      </c>
      <c r="BE216" s="131"/>
      <c r="BF216" s="131">
        <f t="shared" si="333"/>
        <v>0</v>
      </c>
      <c r="BG216" s="131">
        <f t="shared" si="334"/>
        <v>0</v>
      </c>
      <c r="BH216" s="131"/>
      <c r="BI216" s="131"/>
      <c r="BJ216" s="131"/>
      <c r="BK216" s="131">
        <f t="shared" si="335"/>
        <v>0</v>
      </c>
      <c r="BL216" s="131"/>
      <c r="BM216" s="131"/>
      <c r="BN216" s="131">
        <f t="shared" si="336"/>
        <v>0</v>
      </c>
      <c r="BO216" s="131"/>
      <c r="BP216" s="131">
        <f t="shared" si="337"/>
        <v>0</v>
      </c>
      <c r="BQ216" s="131"/>
      <c r="BR216" s="131"/>
      <c r="BS216" s="131"/>
      <c r="BT216" s="131"/>
      <c r="BU216" s="131"/>
      <c r="BV216" s="131">
        <f t="shared" si="338"/>
        <v>0</v>
      </c>
      <c r="BW216" s="131"/>
      <c r="BX216" s="131"/>
      <c r="BY216" s="131"/>
      <c r="BZ216" s="131">
        <f t="shared" si="339"/>
        <v>0</v>
      </c>
      <c r="CA216" s="131"/>
      <c r="CB216" s="136">
        <f t="shared" si="292"/>
        <v>160.55836672570746</v>
      </c>
      <c r="CC216" s="131">
        <f t="shared" si="293"/>
        <v>0</v>
      </c>
      <c r="CD216" s="136">
        <f t="shared" si="294"/>
        <v>0</v>
      </c>
      <c r="CE216" s="131">
        <f t="shared" si="342"/>
        <v>0</v>
      </c>
      <c r="CF216" s="136">
        <f t="shared" si="295"/>
        <v>0</v>
      </c>
      <c r="CG216" s="136"/>
      <c r="CH216" s="136">
        <f t="shared" si="341"/>
        <v>0</v>
      </c>
      <c r="CI216" s="131">
        <f t="shared" si="296"/>
        <v>0</v>
      </c>
      <c r="CJ216" s="131"/>
      <c r="CK216" s="136">
        <f t="shared" si="297"/>
        <v>0</v>
      </c>
      <c r="CL216" s="136">
        <f t="shared" si="298"/>
        <v>804.25411383551102</v>
      </c>
      <c r="CM216" s="131">
        <f t="shared" si="299"/>
        <v>0</v>
      </c>
      <c r="CN216" s="136">
        <f t="shared" si="300"/>
        <v>0</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f t="shared" si="306"/>
        <v>0</v>
      </c>
      <c r="DC216" s="131">
        <f t="shared" si="266"/>
        <v>0</v>
      </c>
      <c r="DD216" s="131">
        <f t="shared" si="307"/>
        <v>0</v>
      </c>
      <c r="DE216" s="131">
        <f t="shared" si="308"/>
        <v>0</v>
      </c>
      <c r="DF216" s="131">
        <f t="shared" si="309"/>
        <v>0</v>
      </c>
      <c r="DG216" s="131">
        <f t="shared" si="310"/>
        <v>0</v>
      </c>
      <c r="DH216" s="131"/>
      <c r="DI216" s="131"/>
      <c r="DJ216" s="131"/>
      <c r="DK216" s="137">
        <f t="shared" si="340"/>
        <v>4620.5129979953599</v>
      </c>
      <c r="DL216" s="227" t="e">
        <f t="shared" si="311"/>
        <v>#REF!</v>
      </c>
      <c r="DM216" s="227" t="e">
        <f t="shared" si="312"/>
        <v>#REF!</v>
      </c>
      <c r="DN216" s="228" t="e">
        <f t="shared" si="267"/>
        <v>#REF!</v>
      </c>
      <c r="DO216" s="228">
        <f t="shared" si="313"/>
        <v>194.35242757490622</v>
      </c>
      <c r="DP216" s="228" t="e">
        <f t="shared" si="314"/>
        <v>#REF!</v>
      </c>
      <c r="DQ216" s="228" t="e">
        <f t="shared" si="315"/>
        <v>#REF!</v>
      </c>
    </row>
    <row r="217" spans="1:121">
      <c r="A217" s="132">
        <f t="shared" si="265"/>
        <v>207</v>
      </c>
      <c r="B217" s="18">
        <f t="shared" si="316"/>
        <v>207</v>
      </c>
      <c r="C217" s="18">
        <f>IF(A217=0," ",VLOOKUP(B217,'tosafot '!$A$7:$B$234,2,0))</f>
        <v>3.2025000000000001</v>
      </c>
      <c r="D217" s="220">
        <f t="shared" si="317"/>
        <v>228</v>
      </c>
      <c r="E217" s="130">
        <f t="shared" si="318"/>
        <v>12.2026</v>
      </c>
      <c r="F217" s="126">
        <f t="shared" si="319"/>
        <v>22</v>
      </c>
      <c r="G217" s="18" t="str">
        <f t="shared" si="320"/>
        <v>התחבורה</v>
      </c>
      <c r="H217" s="189">
        <f t="shared" si="321"/>
        <v>122</v>
      </c>
      <c r="I217" s="18">
        <f t="shared" si="322"/>
        <v>1</v>
      </c>
      <c r="J217" s="18" t="str">
        <f t="shared" si="323"/>
        <v>מינהלי - עובדי מדינה</v>
      </c>
      <c r="K217" s="189">
        <f t="shared" si="324"/>
        <v>1</v>
      </c>
      <c r="L217" s="18">
        <f t="shared" si="325"/>
        <v>12</v>
      </c>
      <c r="M217" s="129" t="str">
        <f t="shared" si="326"/>
        <v>17+</v>
      </c>
      <c r="N217" s="189"/>
      <c r="O217" s="132">
        <f t="shared" si="327"/>
        <v>1012</v>
      </c>
      <c r="P217" s="127">
        <f t="shared" si="328"/>
        <v>37</v>
      </c>
      <c r="Q217" s="127">
        <f t="shared" si="329"/>
        <v>36.75</v>
      </c>
      <c r="R217" s="128">
        <f t="shared" si="330"/>
        <v>148</v>
      </c>
      <c r="S217" s="130">
        <f t="shared" si="331"/>
        <v>1.4414995494685181</v>
      </c>
      <c r="T217" s="135">
        <f t="shared" si="268"/>
        <v>0</v>
      </c>
      <c r="U217" s="127">
        <f t="shared" si="269"/>
        <v>0</v>
      </c>
      <c r="V217" s="217">
        <v>0</v>
      </c>
      <c r="W217" s="191">
        <v>0</v>
      </c>
      <c r="X217" s="133">
        <v>0</v>
      </c>
      <c r="Y217" s="131">
        <f t="shared" si="270"/>
        <v>2438.5</v>
      </c>
      <c r="Z217" s="131">
        <f t="shared" si="271"/>
        <v>1076.5966513789815</v>
      </c>
      <c r="AA217" s="242">
        <f t="shared" si="272"/>
        <v>3515.0966513789817</v>
      </c>
      <c r="AB217" s="131">
        <f t="shared" si="273"/>
        <v>0</v>
      </c>
      <c r="AC217" s="131">
        <f t="shared" si="274"/>
        <v>140.60386605515927</v>
      </c>
      <c r="AD217" s="131">
        <f t="shared" si="275"/>
        <v>0</v>
      </c>
      <c r="AE217" s="131">
        <f t="shared" si="276"/>
        <v>0</v>
      </c>
      <c r="AF217" s="131">
        <f t="shared" si="277"/>
        <v>0</v>
      </c>
      <c r="AG217" s="131">
        <f t="shared" si="278"/>
        <v>0</v>
      </c>
      <c r="AH217" s="131">
        <f t="shared" si="279"/>
        <v>0</v>
      </c>
      <c r="AI217" s="131">
        <f t="shared" si="280"/>
        <v>0</v>
      </c>
      <c r="AJ217" s="131">
        <f t="shared" si="281"/>
        <v>0</v>
      </c>
      <c r="AK217" s="131"/>
      <c r="AL217" s="131">
        <f t="shared" si="282"/>
        <v>0</v>
      </c>
      <c r="AM217" s="131"/>
      <c r="AN217" s="243">
        <f t="shared" si="283"/>
        <v>0</v>
      </c>
      <c r="AO217" s="131">
        <f t="shared" si="284"/>
        <v>0</v>
      </c>
      <c r="AP217" s="131">
        <f t="shared" si="285"/>
        <v>0</v>
      </c>
      <c r="AQ217" s="131"/>
      <c r="AR217" s="131">
        <f t="shared" si="286"/>
        <v>0</v>
      </c>
      <c r="AS217" s="131">
        <f t="shared" si="332"/>
        <v>0</v>
      </c>
      <c r="AT217" s="131">
        <f t="shared" si="287"/>
        <v>0</v>
      </c>
      <c r="AU217" s="131">
        <f t="shared" si="288"/>
        <v>0</v>
      </c>
      <c r="AV217" s="131"/>
      <c r="AW217" s="131">
        <f t="shared" si="289"/>
        <v>0</v>
      </c>
      <c r="AX217" s="131">
        <f t="shared" si="343"/>
        <v>0</v>
      </c>
      <c r="AY217" s="131">
        <f t="shared" si="290"/>
        <v>0</v>
      </c>
      <c r="AZ217" s="131"/>
      <c r="BA217" s="131">
        <f t="shared" si="344"/>
        <v>0</v>
      </c>
      <c r="BB217" s="131"/>
      <c r="BC217" s="131"/>
      <c r="BD217" s="131">
        <f t="shared" si="291"/>
        <v>0</v>
      </c>
      <c r="BE217" s="131"/>
      <c r="BF217" s="131">
        <f t="shared" si="333"/>
        <v>0</v>
      </c>
      <c r="BG217" s="131">
        <f t="shared" si="334"/>
        <v>0</v>
      </c>
      <c r="BH217" s="131"/>
      <c r="BI217" s="131"/>
      <c r="BJ217" s="131"/>
      <c r="BK217" s="131">
        <f t="shared" si="335"/>
        <v>0</v>
      </c>
      <c r="BL217" s="131"/>
      <c r="BM217" s="131"/>
      <c r="BN217" s="131">
        <f t="shared" si="336"/>
        <v>0</v>
      </c>
      <c r="BO217" s="131"/>
      <c r="BP217" s="131">
        <f t="shared" si="337"/>
        <v>0</v>
      </c>
      <c r="BQ217" s="131"/>
      <c r="BR217" s="131"/>
      <c r="BS217" s="131"/>
      <c r="BT217" s="131"/>
      <c r="BU217" s="131"/>
      <c r="BV217" s="131">
        <f t="shared" si="338"/>
        <v>0</v>
      </c>
      <c r="BW217" s="131"/>
      <c r="BX217" s="131"/>
      <c r="BY217" s="131"/>
      <c r="BZ217" s="131">
        <f t="shared" si="339"/>
        <v>0</v>
      </c>
      <c r="CA217" s="131"/>
      <c r="CB217" s="136">
        <f t="shared" si="292"/>
        <v>160.55836672570746</v>
      </c>
      <c r="CC217" s="131">
        <f t="shared" si="293"/>
        <v>0</v>
      </c>
      <c r="CD217" s="136">
        <f t="shared" si="294"/>
        <v>0</v>
      </c>
      <c r="CE217" s="131">
        <f t="shared" si="342"/>
        <v>0</v>
      </c>
      <c r="CF217" s="136">
        <f t="shared" si="295"/>
        <v>0</v>
      </c>
      <c r="CG217" s="136"/>
      <c r="CH217" s="136">
        <f t="shared" si="341"/>
        <v>0</v>
      </c>
      <c r="CI217" s="131">
        <f t="shared" si="296"/>
        <v>0</v>
      </c>
      <c r="CJ217" s="131"/>
      <c r="CK217" s="136">
        <f t="shared" si="297"/>
        <v>0</v>
      </c>
      <c r="CL217" s="136">
        <f t="shared" si="298"/>
        <v>804.25411383551102</v>
      </c>
      <c r="CM217" s="131">
        <f t="shared" si="299"/>
        <v>0</v>
      </c>
      <c r="CN217" s="136">
        <f t="shared" si="300"/>
        <v>0</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f t="shared" si="306"/>
        <v>0</v>
      </c>
      <c r="DC217" s="131">
        <f t="shared" si="266"/>
        <v>0</v>
      </c>
      <c r="DD217" s="131">
        <f t="shared" si="307"/>
        <v>0</v>
      </c>
      <c r="DE217" s="131">
        <f t="shared" si="308"/>
        <v>0</v>
      </c>
      <c r="DF217" s="131">
        <f t="shared" si="309"/>
        <v>0</v>
      </c>
      <c r="DG217" s="131">
        <f t="shared" si="310"/>
        <v>0</v>
      </c>
      <c r="DH217" s="131"/>
      <c r="DI217" s="131"/>
      <c r="DJ217" s="131"/>
      <c r="DK217" s="137">
        <f t="shared" si="340"/>
        <v>4620.5129979953599</v>
      </c>
      <c r="DL217" s="227" t="e">
        <f t="shared" si="311"/>
        <v>#REF!</v>
      </c>
      <c r="DM217" s="227" t="e">
        <f t="shared" si="312"/>
        <v>#REF!</v>
      </c>
      <c r="DN217" s="228" t="e">
        <f t="shared" si="267"/>
        <v>#REF!</v>
      </c>
      <c r="DO217" s="228">
        <f t="shared" si="313"/>
        <v>194.35242757490622</v>
      </c>
      <c r="DP217" s="228" t="e">
        <f t="shared" si="314"/>
        <v>#REF!</v>
      </c>
      <c r="DQ217" s="228" t="e">
        <f t="shared" si="315"/>
        <v>#REF!</v>
      </c>
    </row>
    <row r="218" spans="1:121">
      <c r="A218" s="132">
        <f t="shared" si="265"/>
        <v>208</v>
      </c>
      <c r="B218" s="18">
        <f t="shared" si="316"/>
        <v>208</v>
      </c>
      <c r="C218" s="18">
        <f>IF(A218=0," ",VLOOKUP(B218,'tosafot '!$A$7:$B$234,2,0))</f>
        <v>4.2024999999999997</v>
      </c>
      <c r="D218" s="220">
        <f t="shared" si="317"/>
        <v>228</v>
      </c>
      <c r="E218" s="130">
        <f t="shared" si="318"/>
        <v>12.2026</v>
      </c>
      <c r="F218" s="126">
        <f t="shared" si="319"/>
        <v>22</v>
      </c>
      <c r="G218" s="18" t="str">
        <f t="shared" si="320"/>
        <v>התחבורה</v>
      </c>
      <c r="H218" s="189">
        <f t="shared" si="321"/>
        <v>122</v>
      </c>
      <c r="I218" s="18">
        <f t="shared" si="322"/>
        <v>1</v>
      </c>
      <c r="J218" s="18" t="str">
        <f t="shared" si="323"/>
        <v>מינהלי - עובדי מדינה</v>
      </c>
      <c r="K218" s="189">
        <f t="shared" si="324"/>
        <v>1</v>
      </c>
      <c r="L218" s="18">
        <f t="shared" si="325"/>
        <v>12</v>
      </c>
      <c r="M218" s="129" t="str">
        <f t="shared" si="326"/>
        <v>17+</v>
      </c>
      <c r="N218" s="189"/>
      <c r="O218" s="132">
        <f t="shared" si="327"/>
        <v>1012</v>
      </c>
      <c r="P218" s="127">
        <f t="shared" si="328"/>
        <v>37</v>
      </c>
      <c r="Q218" s="127">
        <f t="shared" si="329"/>
        <v>36.75</v>
      </c>
      <c r="R218" s="128">
        <f t="shared" si="330"/>
        <v>148</v>
      </c>
      <c r="S218" s="130">
        <f t="shared" si="331"/>
        <v>1.4414995494685181</v>
      </c>
      <c r="T218" s="135">
        <f t="shared" si="268"/>
        <v>0</v>
      </c>
      <c r="U218" s="127">
        <f t="shared" si="269"/>
        <v>0</v>
      </c>
      <c r="V218" s="217">
        <v>0</v>
      </c>
      <c r="W218" s="191">
        <v>0</v>
      </c>
      <c r="X218" s="133">
        <v>0</v>
      </c>
      <c r="Y218" s="131">
        <f t="shared" si="270"/>
        <v>2438.5</v>
      </c>
      <c r="Z218" s="131">
        <f t="shared" si="271"/>
        <v>1076.5966513789815</v>
      </c>
      <c r="AA218" s="242">
        <f t="shared" si="272"/>
        <v>3515.0966513789817</v>
      </c>
      <c r="AB218" s="131">
        <f t="shared" si="273"/>
        <v>0</v>
      </c>
      <c r="AC218" s="131">
        <f t="shared" si="274"/>
        <v>140.60386605515927</v>
      </c>
      <c r="AD218" s="131">
        <f t="shared" si="275"/>
        <v>0</v>
      </c>
      <c r="AE218" s="131">
        <f t="shared" si="276"/>
        <v>0</v>
      </c>
      <c r="AF218" s="131">
        <f t="shared" si="277"/>
        <v>0</v>
      </c>
      <c r="AG218" s="131">
        <f t="shared" si="278"/>
        <v>0</v>
      </c>
      <c r="AH218" s="131">
        <f t="shared" si="279"/>
        <v>0</v>
      </c>
      <c r="AI218" s="131">
        <f t="shared" si="280"/>
        <v>0</v>
      </c>
      <c r="AJ218" s="131">
        <f t="shared" si="281"/>
        <v>0</v>
      </c>
      <c r="AK218" s="131"/>
      <c r="AL218" s="131">
        <f t="shared" si="282"/>
        <v>0</v>
      </c>
      <c r="AM218" s="131"/>
      <c r="AN218" s="243">
        <f t="shared" si="283"/>
        <v>0</v>
      </c>
      <c r="AO218" s="131">
        <f t="shared" si="284"/>
        <v>0</v>
      </c>
      <c r="AP218" s="131">
        <f t="shared" si="285"/>
        <v>0</v>
      </c>
      <c r="AQ218" s="131"/>
      <c r="AR218" s="131">
        <f t="shared" si="286"/>
        <v>0</v>
      </c>
      <c r="AS218" s="131">
        <f t="shared" si="332"/>
        <v>0</v>
      </c>
      <c r="AT218" s="131">
        <f t="shared" si="287"/>
        <v>0</v>
      </c>
      <c r="AU218" s="131">
        <f t="shared" si="288"/>
        <v>0</v>
      </c>
      <c r="AV218" s="131"/>
      <c r="AW218" s="131">
        <f t="shared" si="289"/>
        <v>0</v>
      </c>
      <c r="AX218" s="131">
        <f t="shared" si="343"/>
        <v>0</v>
      </c>
      <c r="AY218" s="131">
        <f t="shared" si="290"/>
        <v>0</v>
      </c>
      <c r="AZ218" s="131"/>
      <c r="BA218" s="131">
        <f t="shared" si="344"/>
        <v>0</v>
      </c>
      <c r="BB218" s="131"/>
      <c r="BC218" s="131"/>
      <c r="BD218" s="131">
        <f t="shared" si="291"/>
        <v>0</v>
      </c>
      <c r="BE218" s="131"/>
      <c r="BF218" s="131">
        <f t="shared" si="333"/>
        <v>0</v>
      </c>
      <c r="BG218" s="131">
        <f t="shared" si="334"/>
        <v>0</v>
      </c>
      <c r="BH218" s="131"/>
      <c r="BI218" s="131"/>
      <c r="BJ218" s="131"/>
      <c r="BK218" s="131">
        <f t="shared" si="335"/>
        <v>0</v>
      </c>
      <c r="BL218" s="131"/>
      <c r="BM218" s="131"/>
      <c r="BN218" s="131">
        <f t="shared" si="336"/>
        <v>0</v>
      </c>
      <c r="BO218" s="131"/>
      <c r="BP218" s="131">
        <f t="shared" si="337"/>
        <v>0</v>
      </c>
      <c r="BQ218" s="131"/>
      <c r="BR218" s="131"/>
      <c r="BS218" s="131"/>
      <c r="BT218" s="131"/>
      <c r="BU218" s="131"/>
      <c r="BV218" s="131">
        <f t="shared" si="338"/>
        <v>0</v>
      </c>
      <c r="BW218" s="131"/>
      <c r="BX218" s="131"/>
      <c r="BY218" s="131"/>
      <c r="BZ218" s="131">
        <f t="shared" si="339"/>
        <v>0</v>
      </c>
      <c r="CA218" s="131"/>
      <c r="CB218" s="136">
        <f t="shared" si="292"/>
        <v>160.55836672570746</v>
      </c>
      <c r="CC218" s="131">
        <f t="shared" si="293"/>
        <v>0</v>
      </c>
      <c r="CD218" s="136">
        <f t="shared" si="294"/>
        <v>0</v>
      </c>
      <c r="CE218" s="131">
        <f t="shared" si="342"/>
        <v>0</v>
      </c>
      <c r="CF218" s="136">
        <f t="shared" si="295"/>
        <v>0</v>
      </c>
      <c r="CG218" s="136"/>
      <c r="CH218" s="136">
        <f t="shared" si="341"/>
        <v>0</v>
      </c>
      <c r="CI218" s="131">
        <f t="shared" si="296"/>
        <v>0</v>
      </c>
      <c r="CJ218" s="131"/>
      <c r="CK218" s="136">
        <f t="shared" si="297"/>
        <v>0</v>
      </c>
      <c r="CL218" s="136">
        <f t="shared" si="298"/>
        <v>804.25411383551102</v>
      </c>
      <c r="CM218" s="131">
        <f t="shared" si="299"/>
        <v>0</v>
      </c>
      <c r="CN218" s="136">
        <f t="shared" si="300"/>
        <v>0</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f t="shared" si="306"/>
        <v>0</v>
      </c>
      <c r="DC218" s="131">
        <f t="shared" si="266"/>
        <v>0</v>
      </c>
      <c r="DD218" s="131">
        <f t="shared" si="307"/>
        <v>0</v>
      </c>
      <c r="DE218" s="131">
        <f t="shared" si="308"/>
        <v>0</v>
      </c>
      <c r="DF218" s="131">
        <f t="shared" si="309"/>
        <v>0</v>
      </c>
      <c r="DG218" s="131">
        <f t="shared" si="310"/>
        <v>0</v>
      </c>
      <c r="DH218" s="131"/>
      <c r="DI218" s="131"/>
      <c r="DJ218" s="131"/>
      <c r="DK218" s="137">
        <f t="shared" si="340"/>
        <v>4620.5129979953599</v>
      </c>
      <c r="DL218" s="227" t="e">
        <f t="shared" si="311"/>
        <v>#REF!</v>
      </c>
      <c r="DM218" s="227" t="e">
        <f t="shared" si="312"/>
        <v>#REF!</v>
      </c>
      <c r="DN218" s="228" t="e">
        <f t="shared" si="267"/>
        <v>#REF!</v>
      </c>
      <c r="DO218" s="228">
        <f t="shared" si="313"/>
        <v>194.35242757490622</v>
      </c>
      <c r="DP218" s="228" t="e">
        <f t="shared" si="314"/>
        <v>#REF!</v>
      </c>
      <c r="DQ218" s="228" t="e">
        <f t="shared" si="315"/>
        <v>#REF!</v>
      </c>
    </row>
    <row r="219" spans="1:121">
      <c r="A219" s="132">
        <f t="shared" si="265"/>
        <v>209</v>
      </c>
      <c r="B219" s="18">
        <f t="shared" si="316"/>
        <v>209</v>
      </c>
      <c r="C219" s="18">
        <f>IF(A219=0," ",VLOOKUP(B219,'tosafot '!$A$7:$B$234,2,0))</f>
        <v>5.2024999999999997</v>
      </c>
      <c r="D219" s="220">
        <f t="shared" si="317"/>
        <v>228</v>
      </c>
      <c r="E219" s="130">
        <f t="shared" si="318"/>
        <v>12.2026</v>
      </c>
      <c r="F219" s="126">
        <f t="shared" si="319"/>
        <v>22</v>
      </c>
      <c r="G219" s="18" t="str">
        <f t="shared" si="320"/>
        <v>התחבורה</v>
      </c>
      <c r="H219" s="189">
        <f t="shared" si="321"/>
        <v>122</v>
      </c>
      <c r="I219" s="18">
        <f t="shared" si="322"/>
        <v>1</v>
      </c>
      <c r="J219" s="18" t="str">
        <f t="shared" si="323"/>
        <v>מינהלי - עובדי מדינה</v>
      </c>
      <c r="K219" s="189">
        <f t="shared" si="324"/>
        <v>1</v>
      </c>
      <c r="L219" s="18">
        <f t="shared" si="325"/>
        <v>12</v>
      </c>
      <c r="M219" s="129" t="str">
        <f t="shared" si="326"/>
        <v>17+</v>
      </c>
      <c r="N219" s="189"/>
      <c r="O219" s="132">
        <f t="shared" si="327"/>
        <v>1012</v>
      </c>
      <c r="P219" s="127">
        <f t="shared" si="328"/>
        <v>37</v>
      </c>
      <c r="Q219" s="127">
        <f t="shared" si="329"/>
        <v>36.75</v>
      </c>
      <c r="R219" s="128">
        <f t="shared" si="330"/>
        <v>148</v>
      </c>
      <c r="S219" s="130">
        <f t="shared" si="331"/>
        <v>1.4414995494685181</v>
      </c>
      <c r="T219" s="135">
        <f t="shared" si="268"/>
        <v>0</v>
      </c>
      <c r="U219" s="127">
        <f t="shared" si="269"/>
        <v>0</v>
      </c>
      <c r="V219" s="217">
        <v>0</v>
      </c>
      <c r="W219" s="191">
        <v>0</v>
      </c>
      <c r="X219" s="133">
        <v>0</v>
      </c>
      <c r="Y219" s="131">
        <f t="shared" si="270"/>
        <v>2438.5</v>
      </c>
      <c r="Z219" s="131">
        <f t="shared" si="271"/>
        <v>1076.5966513789815</v>
      </c>
      <c r="AA219" s="242">
        <f t="shared" si="272"/>
        <v>3515.0966513789817</v>
      </c>
      <c r="AB219" s="131">
        <f t="shared" si="273"/>
        <v>0</v>
      </c>
      <c r="AC219" s="131">
        <f t="shared" si="274"/>
        <v>140.60386605515927</v>
      </c>
      <c r="AD219" s="131">
        <f t="shared" si="275"/>
        <v>0</v>
      </c>
      <c r="AE219" s="131">
        <f t="shared" si="276"/>
        <v>0</v>
      </c>
      <c r="AF219" s="131">
        <f t="shared" si="277"/>
        <v>0</v>
      </c>
      <c r="AG219" s="131">
        <f t="shared" si="278"/>
        <v>0</v>
      </c>
      <c r="AH219" s="131">
        <f t="shared" si="279"/>
        <v>0</v>
      </c>
      <c r="AI219" s="131">
        <f t="shared" si="280"/>
        <v>0</v>
      </c>
      <c r="AJ219" s="131">
        <f t="shared" si="281"/>
        <v>0</v>
      </c>
      <c r="AK219" s="131"/>
      <c r="AL219" s="131">
        <f t="shared" si="282"/>
        <v>0</v>
      </c>
      <c r="AM219" s="131"/>
      <c r="AN219" s="243">
        <f t="shared" si="283"/>
        <v>0</v>
      </c>
      <c r="AO219" s="131">
        <f t="shared" si="284"/>
        <v>0</v>
      </c>
      <c r="AP219" s="131">
        <f t="shared" si="285"/>
        <v>0</v>
      </c>
      <c r="AQ219" s="131"/>
      <c r="AR219" s="131">
        <f t="shared" si="286"/>
        <v>0</v>
      </c>
      <c r="AS219" s="131">
        <f t="shared" si="332"/>
        <v>0</v>
      </c>
      <c r="AT219" s="131">
        <f t="shared" si="287"/>
        <v>0</v>
      </c>
      <c r="AU219" s="131">
        <f t="shared" si="288"/>
        <v>0</v>
      </c>
      <c r="AV219" s="131"/>
      <c r="AW219" s="131">
        <f t="shared" si="289"/>
        <v>0</v>
      </c>
      <c r="AX219" s="131">
        <f t="shared" si="343"/>
        <v>0</v>
      </c>
      <c r="AY219" s="131">
        <f t="shared" si="290"/>
        <v>0</v>
      </c>
      <c r="AZ219" s="131"/>
      <c r="BA219" s="131">
        <f t="shared" si="344"/>
        <v>0</v>
      </c>
      <c r="BB219" s="131"/>
      <c r="BC219" s="131"/>
      <c r="BD219" s="131">
        <f t="shared" si="291"/>
        <v>0</v>
      </c>
      <c r="BE219" s="131"/>
      <c r="BF219" s="131">
        <f t="shared" si="333"/>
        <v>0</v>
      </c>
      <c r="BG219" s="131">
        <f t="shared" si="334"/>
        <v>0</v>
      </c>
      <c r="BH219" s="131"/>
      <c r="BI219" s="131"/>
      <c r="BJ219" s="131"/>
      <c r="BK219" s="131">
        <f t="shared" si="335"/>
        <v>0</v>
      </c>
      <c r="BL219" s="131"/>
      <c r="BM219" s="131"/>
      <c r="BN219" s="131">
        <f t="shared" si="336"/>
        <v>0</v>
      </c>
      <c r="BO219" s="131"/>
      <c r="BP219" s="131">
        <f t="shared" si="337"/>
        <v>0</v>
      </c>
      <c r="BQ219" s="131"/>
      <c r="BR219" s="131"/>
      <c r="BS219" s="131"/>
      <c r="BT219" s="131"/>
      <c r="BU219" s="131"/>
      <c r="BV219" s="131">
        <f t="shared" si="338"/>
        <v>0</v>
      </c>
      <c r="BW219" s="131"/>
      <c r="BX219" s="131"/>
      <c r="BY219" s="131"/>
      <c r="BZ219" s="131">
        <f t="shared" si="339"/>
        <v>0</v>
      </c>
      <c r="CA219" s="131"/>
      <c r="CB219" s="136">
        <f t="shared" si="292"/>
        <v>160.55836672570746</v>
      </c>
      <c r="CC219" s="131">
        <f t="shared" si="293"/>
        <v>0</v>
      </c>
      <c r="CD219" s="136">
        <f t="shared" si="294"/>
        <v>0</v>
      </c>
      <c r="CE219" s="131">
        <f t="shared" si="342"/>
        <v>0</v>
      </c>
      <c r="CF219" s="136">
        <f t="shared" si="295"/>
        <v>0</v>
      </c>
      <c r="CG219" s="136"/>
      <c r="CH219" s="136">
        <f t="shared" si="341"/>
        <v>0</v>
      </c>
      <c r="CI219" s="131">
        <f t="shared" si="296"/>
        <v>0</v>
      </c>
      <c r="CJ219" s="131"/>
      <c r="CK219" s="136">
        <f t="shared" si="297"/>
        <v>0</v>
      </c>
      <c r="CL219" s="136">
        <f t="shared" si="298"/>
        <v>804.25411383551102</v>
      </c>
      <c r="CM219" s="131">
        <f t="shared" si="299"/>
        <v>0</v>
      </c>
      <c r="CN219" s="136">
        <f t="shared" si="300"/>
        <v>0</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f t="shared" si="306"/>
        <v>0</v>
      </c>
      <c r="DC219" s="131">
        <f t="shared" si="266"/>
        <v>0</v>
      </c>
      <c r="DD219" s="131">
        <f t="shared" si="307"/>
        <v>0</v>
      </c>
      <c r="DE219" s="131">
        <f t="shared" si="308"/>
        <v>0</v>
      </c>
      <c r="DF219" s="131">
        <f t="shared" si="309"/>
        <v>0</v>
      </c>
      <c r="DG219" s="131">
        <f t="shared" si="310"/>
        <v>0</v>
      </c>
      <c r="DH219" s="131"/>
      <c r="DI219" s="131"/>
      <c r="DJ219" s="131"/>
      <c r="DK219" s="137">
        <f t="shared" si="340"/>
        <v>4620.5129979953599</v>
      </c>
      <c r="DL219" s="227" t="e">
        <f t="shared" si="311"/>
        <v>#REF!</v>
      </c>
      <c r="DM219" s="227" t="e">
        <f t="shared" si="312"/>
        <v>#REF!</v>
      </c>
      <c r="DN219" s="228" t="e">
        <f t="shared" si="267"/>
        <v>#REF!</v>
      </c>
      <c r="DO219" s="228">
        <f t="shared" si="313"/>
        <v>194.35242757490622</v>
      </c>
      <c r="DP219" s="228" t="e">
        <f t="shared" si="314"/>
        <v>#REF!</v>
      </c>
      <c r="DQ219" s="228" t="e">
        <f t="shared" si="315"/>
        <v>#REF!</v>
      </c>
    </row>
    <row r="220" spans="1:121">
      <c r="A220" s="132">
        <f t="shared" si="265"/>
        <v>210</v>
      </c>
      <c r="B220" s="18">
        <f t="shared" si="316"/>
        <v>210</v>
      </c>
      <c r="C220" s="18">
        <f>IF(A220=0," ",VLOOKUP(B220,'tosafot '!$A$7:$B$234,2,0))</f>
        <v>6.2024999999999997</v>
      </c>
      <c r="D220" s="220">
        <f t="shared" si="317"/>
        <v>228</v>
      </c>
      <c r="E220" s="130">
        <f t="shared" si="318"/>
        <v>12.2026</v>
      </c>
      <c r="F220" s="126">
        <f t="shared" si="319"/>
        <v>22</v>
      </c>
      <c r="G220" s="18" t="str">
        <f t="shared" si="320"/>
        <v>התחבורה</v>
      </c>
      <c r="H220" s="189">
        <f t="shared" si="321"/>
        <v>122</v>
      </c>
      <c r="I220" s="18">
        <f t="shared" si="322"/>
        <v>1</v>
      </c>
      <c r="J220" s="18" t="str">
        <f t="shared" si="323"/>
        <v>מינהלי - עובדי מדינה</v>
      </c>
      <c r="K220" s="189">
        <f t="shared" si="324"/>
        <v>1</v>
      </c>
      <c r="L220" s="18">
        <f t="shared" si="325"/>
        <v>12</v>
      </c>
      <c r="M220" s="129" t="str">
        <f t="shared" si="326"/>
        <v>17+</v>
      </c>
      <c r="N220" s="189"/>
      <c r="O220" s="132">
        <f t="shared" si="327"/>
        <v>1012</v>
      </c>
      <c r="P220" s="127">
        <f t="shared" si="328"/>
        <v>37</v>
      </c>
      <c r="Q220" s="127">
        <f t="shared" si="329"/>
        <v>36.75</v>
      </c>
      <c r="R220" s="128">
        <f t="shared" si="330"/>
        <v>148</v>
      </c>
      <c r="S220" s="130">
        <f t="shared" si="331"/>
        <v>1.4414995494685181</v>
      </c>
      <c r="T220" s="135">
        <f t="shared" si="268"/>
        <v>0</v>
      </c>
      <c r="U220" s="127">
        <f t="shared" si="269"/>
        <v>0</v>
      </c>
      <c r="V220" s="217">
        <v>0</v>
      </c>
      <c r="W220" s="191">
        <v>0</v>
      </c>
      <c r="X220" s="133">
        <v>0</v>
      </c>
      <c r="Y220" s="131">
        <f t="shared" si="270"/>
        <v>2438.5</v>
      </c>
      <c r="Z220" s="131">
        <f t="shared" si="271"/>
        <v>1076.5966513789815</v>
      </c>
      <c r="AA220" s="242">
        <f t="shared" si="272"/>
        <v>3515.0966513789817</v>
      </c>
      <c r="AB220" s="131">
        <f t="shared" si="273"/>
        <v>0</v>
      </c>
      <c r="AC220" s="131">
        <f t="shared" si="274"/>
        <v>140.60386605515927</v>
      </c>
      <c r="AD220" s="131">
        <f t="shared" si="275"/>
        <v>0</v>
      </c>
      <c r="AE220" s="131">
        <f t="shared" si="276"/>
        <v>0</v>
      </c>
      <c r="AF220" s="131">
        <f t="shared" si="277"/>
        <v>0</v>
      </c>
      <c r="AG220" s="131">
        <f t="shared" si="278"/>
        <v>0</v>
      </c>
      <c r="AH220" s="131">
        <f t="shared" si="279"/>
        <v>0</v>
      </c>
      <c r="AI220" s="131">
        <f t="shared" si="280"/>
        <v>0</v>
      </c>
      <c r="AJ220" s="131">
        <f t="shared" si="281"/>
        <v>0</v>
      </c>
      <c r="AK220" s="131"/>
      <c r="AL220" s="131">
        <f t="shared" si="282"/>
        <v>0</v>
      </c>
      <c r="AM220" s="131"/>
      <c r="AN220" s="243">
        <f t="shared" si="283"/>
        <v>0</v>
      </c>
      <c r="AO220" s="131">
        <f t="shared" si="284"/>
        <v>0</v>
      </c>
      <c r="AP220" s="131">
        <f t="shared" si="285"/>
        <v>0</v>
      </c>
      <c r="AQ220" s="131"/>
      <c r="AR220" s="131">
        <f t="shared" si="286"/>
        <v>0</v>
      </c>
      <c r="AS220" s="131">
        <f t="shared" si="332"/>
        <v>0</v>
      </c>
      <c r="AT220" s="131">
        <f t="shared" si="287"/>
        <v>0</v>
      </c>
      <c r="AU220" s="131">
        <f t="shared" si="288"/>
        <v>0</v>
      </c>
      <c r="AV220" s="131"/>
      <c r="AW220" s="131">
        <f t="shared" si="289"/>
        <v>0</v>
      </c>
      <c r="AX220" s="131">
        <f t="shared" si="343"/>
        <v>0</v>
      </c>
      <c r="AY220" s="131">
        <f t="shared" si="290"/>
        <v>0</v>
      </c>
      <c r="AZ220" s="131"/>
      <c r="BA220" s="131">
        <f t="shared" si="344"/>
        <v>0</v>
      </c>
      <c r="BB220" s="131"/>
      <c r="BC220" s="131"/>
      <c r="BD220" s="131">
        <f t="shared" si="291"/>
        <v>0</v>
      </c>
      <c r="BE220" s="131"/>
      <c r="BF220" s="131">
        <f t="shared" si="333"/>
        <v>0</v>
      </c>
      <c r="BG220" s="131">
        <f t="shared" si="334"/>
        <v>0</v>
      </c>
      <c r="BH220" s="131"/>
      <c r="BI220" s="131"/>
      <c r="BJ220" s="131"/>
      <c r="BK220" s="131">
        <f t="shared" si="335"/>
        <v>0</v>
      </c>
      <c r="BL220" s="131"/>
      <c r="BM220" s="131"/>
      <c r="BN220" s="131">
        <f t="shared" si="336"/>
        <v>0</v>
      </c>
      <c r="BO220" s="131"/>
      <c r="BP220" s="131">
        <f t="shared" si="337"/>
        <v>0</v>
      </c>
      <c r="BQ220" s="131"/>
      <c r="BR220" s="131"/>
      <c r="BS220" s="131"/>
      <c r="BT220" s="131"/>
      <c r="BU220" s="131"/>
      <c r="BV220" s="131">
        <f t="shared" si="338"/>
        <v>0</v>
      </c>
      <c r="BW220" s="131"/>
      <c r="BX220" s="131"/>
      <c r="BY220" s="131"/>
      <c r="BZ220" s="131">
        <f t="shared" si="339"/>
        <v>0</v>
      </c>
      <c r="CA220" s="131"/>
      <c r="CB220" s="136">
        <f t="shared" si="292"/>
        <v>160.55836672570746</v>
      </c>
      <c r="CC220" s="131">
        <f t="shared" si="293"/>
        <v>0</v>
      </c>
      <c r="CD220" s="136">
        <f t="shared" si="294"/>
        <v>0</v>
      </c>
      <c r="CE220" s="131">
        <f t="shared" si="342"/>
        <v>0</v>
      </c>
      <c r="CF220" s="136">
        <f t="shared" si="295"/>
        <v>0</v>
      </c>
      <c r="CG220" s="136"/>
      <c r="CH220" s="136">
        <f t="shared" si="341"/>
        <v>0</v>
      </c>
      <c r="CI220" s="131">
        <f t="shared" si="296"/>
        <v>0</v>
      </c>
      <c r="CJ220" s="131"/>
      <c r="CK220" s="136">
        <f t="shared" si="297"/>
        <v>0</v>
      </c>
      <c r="CL220" s="136">
        <f t="shared" si="298"/>
        <v>804.25411383551102</v>
      </c>
      <c r="CM220" s="131">
        <f t="shared" si="299"/>
        <v>0</v>
      </c>
      <c r="CN220" s="136">
        <f t="shared" si="300"/>
        <v>0</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f t="shared" si="306"/>
        <v>0</v>
      </c>
      <c r="DC220" s="131">
        <f t="shared" si="266"/>
        <v>0</v>
      </c>
      <c r="DD220" s="131">
        <f t="shared" si="307"/>
        <v>0</v>
      </c>
      <c r="DE220" s="131">
        <f t="shared" si="308"/>
        <v>0</v>
      </c>
      <c r="DF220" s="131">
        <f t="shared" si="309"/>
        <v>0</v>
      </c>
      <c r="DG220" s="131">
        <f t="shared" si="310"/>
        <v>0</v>
      </c>
      <c r="DH220" s="131"/>
      <c r="DI220" s="131"/>
      <c r="DJ220" s="131"/>
      <c r="DK220" s="137">
        <f t="shared" si="340"/>
        <v>4620.5129979953599</v>
      </c>
      <c r="DL220" s="227" t="e">
        <f t="shared" si="311"/>
        <v>#REF!</v>
      </c>
      <c r="DM220" s="227" t="e">
        <f t="shared" si="312"/>
        <v>#REF!</v>
      </c>
      <c r="DN220" s="228" t="e">
        <f t="shared" si="267"/>
        <v>#REF!</v>
      </c>
      <c r="DO220" s="228">
        <f t="shared" si="313"/>
        <v>194.35242757490622</v>
      </c>
      <c r="DP220" s="228" t="e">
        <f t="shared" si="314"/>
        <v>#REF!</v>
      </c>
      <c r="DQ220" s="228" t="e">
        <f t="shared" si="315"/>
        <v>#REF!</v>
      </c>
    </row>
    <row r="221" spans="1:121">
      <c r="A221" s="132">
        <f t="shared" si="265"/>
        <v>211</v>
      </c>
      <c r="B221" s="18">
        <f t="shared" si="316"/>
        <v>211</v>
      </c>
      <c r="C221" s="18">
        <f>IF(A221=0," ",VLOOKUP(B221,'tosafot '!$A$7:$B$234,2,0))</f>
        <v>7.2024999999999997</v>
      </c>
      <c r="D221" s="220">
        <f t="shared" si="317"/>
        <v>228</v>
      </c>
      <c r="E221" s="130">
        <f t="shared" si="318"/>
        <v>12.2026</v>
      </c>
      <c r="F221" s="126">
        <f t="shared" si="319"/>
        <v>22</v>
      </c>
      <c r="G221" s="18" t="str">
        <f t="shared" si="320"/>
        <v>התחבורה</v>
      </c>
      <c r="H221" s="189">
        <f t="shared" si="321"/>
        <v>122</v>
      </c>
      <c r="I221" s="18">
        <f t="shared" si="322"/>
        <v>1</v>
      </c>
      <c r="J221" s="18" t="str">
        <f t="shared" si="323"/>
        <v>מינהלי - עובדי מדינה</v>
      </c>
      <c r="K221" s="189">
        <f t="shared" si="324"/>
        <v>1</v>
      </c>
      <c r="L221" s="18">
        <f t="shared" si="325"/>
        <v>12</v>
      </c>
      <c r="M221" s="129" t="str">
        <f t="shared" si="326"/>
        <v>17+</v>
      </c>
      <c r="N221" s="189"/>
      <c r="O221" s="132">
        <f t="shared" si="327"/>
        <v>1012</v>
      </c>
      <c r="P221" s="127">
        <f t="shared" si="328"/>
        <v>37</v>
      </c>
      <c r="Q221" s="127">
        <f t="shared" si="329"/>
        <v>36.75</v>
      </c>
      <c r="R221" s="128">
        <f t="shared" si="330"/>
        <v>148</v>
      </c>
      <c r="S221" s="130">
        <f t="shared" si="331"/>
        <v>1.4414995494685181</v>
      </c>
      <c r="T221" s="135">
        <f t="shared" si="268"/>
        <v>0</v>
      </c>
      <c r="U221" s="127">
        <f t="shared" si="269"/>
        <v>0</v>
      </c>
      <c r="V221" s="217">
        <v>0</v>
      </c>
      <c r="W221" s="191">
        <v>0</v>
      </c>
      <c r="X221" s="133">
        <v>0</v>
      </c>
      <c r="Y221" s="131">
        <f t="shared" si="270"/>
        <v>2438.5</v>
      </c>
      <c r="Z221" s="131">
        <f t="shared" si="271"/>
        <v>1076.5966513789815</v>
      </c>
      <c r="AA221" s="242">
        <f t="shared" si="272"/>
        <v>3515.0966513789817</v>
      </c>
      <c r="AB221" s="131">
        <f t="shared" si="273"/>
        <v>0</v>
      </c>
      <c r="AC221" s="131">
        <f t="shared" si="274"/>
        <v>140.60386605515927</v>
      </c>
      <c r="AD221" s="131">
        <f t="shared" si="275"/>
        <v>0</v>
      </c>
      <c r="AE221" s="131">
        <f t="shared" si="276"/>
        <v>0</v>
      </c>
      <c r="AF221" s="131">
        <f t="shared" si="277"/>
        <v>0</v>
      </c>
      <c r="AG221" s="131">
        <f t="shared" si="278"/>
        <v>0</v>
      </c>
      <c r="AH221" s="131">
        <f t="shared" si="279"/>
        <v>0</v>
      </c>
      <c r="AI221" s="131">
        <f t="shared" si="280"/>
        <v>0</v>
      </c>
      <c r="AJ221" s="131">
        <f t="shared" si="281"/>
        <v>0</v>
      </c>
      <c r="AK221" s="131"/>
      <c r="AL221" s="131">
        <f t="shared" si="282"/>
        <v>0</v>
      </c>
      <c r="AM221" s="131"/>
      <c r="AN221" s="243">
        <f t="shared" si="283"/>
        <v>0</v>
      </c>
      <c r="AO221" s="131">
        <f t="shared" si="284"/>
        <v>0</v>
      </c>
      <c r="AP221" s="131">
        <f t="shared" si="285"/>
        <v>0</v>
      </c>
      <c r="AQ221" s="131"/>
      <c r="AR221" s="131">
        <f t="shared" si="286"/>
        <v>0</v>
      </c>
      <c r="AS221" s="131">
        <f t="shared" si="332"/>
        <v>0</v>
      </c>
      <c r="AT221" s="131">
        <f t="shared" si="287"/>
        <v>0</v>
      </c>
      <c r="AU221" s="131">
        <f t="shared" si="288"/>
        <v>0</v>
      </c>
      <c r="AV221" s="131"/>
      <c r="AW221" s="131">
        <f t="shared" si="289"/>
        <v>0</v>
      </c>
      <c r="AX221" s="131">
        <f t="shared" si="343"/>
        <v>0</v>
      </c>
      <c r="AY221" s="131">
        <f t="shared" si="290"/>
        <v>0</v>
      </c>
      <c r="AZ221" s="131"/>
      <c r="BA221" s="131">
        <f t="shared" si="344"/>
        <v>0</v>
      </c>
      <c r="BB221" s="131"/>
      <c r="BC221" s="131"/>
      <c r="BD221" s="131">
        <f t="shared" si="291"/>
        <v>0</v>
      </c>
      <c r="BE221" s="131"/>
      <c r="BF221" s="131">
        <f t="shared" si="333"/>
        <v>0</v>
      </c>
      <c r="BG221" s="131">
        <f t="shared" si="334"/>
        <v>0</v>
      </c>
      <c r="BH221" s="131"/>
      <c r="BI221" s="131"/>
      <c r="BJ221" s="131"/>
      <c r="BK221" s="131">
        <f t="shared" si="335"/>
        <v>0</v>
      </c>
      <c r="BL221" s="131"/>
      <c r="BM221" s="131"/>
      <c r="BN221" s="131">
        <f t="shared" si="336"/>
        <v>0</v>
      </c>
      <c r="BO221" s="131"/>
      <c r="BP221" s="131">
        <f t="shared" si="337"/>
        <v>0</v>
      </c>
      <c r="BQ221" s="131"/>
      <c r="BR221" s="131"/>
      <c r="BS221" s="131"/>
      <c r="BT221" s="131"/>
      <c r="BU221" s="131"/>
      <c r="BV221" s="131">
        <f t="shared" si="338"/>
        <v>0</v>
      </c>
      <c r="BW221" s="131"/>
      <c r="BX221" s="131"/>
      <c r="BY221" s="131"/>
      <c r="BZ221" s="131">
        <f t="shared" si="339"/>
        <v>0</v>
      </c>
      <c r="CA221" s="131"/>
      <c r="CB221" s="136">
        <f t="shared" si="292"/>
        <v>160.55836672570746</v>
      </c>
      <c r="CC221" s="131">
        <f t="shared" si="293"/>
        <v>0</v>
      </c>
      <c r="CD221" s="136">
        <f t="shared" si="294"/>
        <v>0</v>
      </c>
      <c r="CE221" s="131">
        <f t="shared" si="342"/>
        <v>0</v>
      </c>
      <c r="CF221" s="136">
        <f t="shared" si="295"/>
        <v>0</v>
      </c>
      <c r="CG221" s="136"/>
      <c r="CH221" s="136">
        <f t="shared" si="341"/>
        <v>0</v>
      </c>
      <c r="CI221" s="131">
        <f t="shared" si="296"/>
        <v>0</v>
      </c>
      <c r="CJ221" s="131"/>
      <c r="CK221" s="136">
        <f t="shared" si="297"/>
        <v>0</v>
      </c>
      <c r="CL221" s="136">
        <f t="shared" si="298"/>
        <v>804.25411383551102</v>
      </c>
      <c r="CM221" s="131">
        <f t="shared" si="299"/>
        <v>0</v>
      </c>
      <c r="CN221" s="136">
        <f t="shared" si="300"/>
        <v>0</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f t="shared" si="306"/>
        <v>0</v>
      </c>
      <c r="DC221" s="131">
        <f t="shared" si="266"/>
        <v>0</v>
      </c>
      <c r="DD221" s="131">
        <f t="shared" si="307"/>
        <v>0</v>
      </c>
      <c r="DE221" s="131">
        <f t="shared" si="308"/>
        <v>0</v>
      </c>
      <c r="DF221" s="131">
        <f t="shared" si="309"/>
        <v>0</v>
      </c>
      <c r="DG221" s="131">
        <f t="shared" si="310"/>
        <v>0</v>
      </c>
      <c r="DH221" s="131"/>
      <c r="DI221" s="131"/>
      <c r="DJ221" s="131"/>
      <c r="DK221" s="137">
        <f t="shared" si="340"/>
        <v>4620.5129979953599</v>
      </c>
      <c r="DL221" s="227" t="e">
        <f t="shared" si="311"/>
        <v>#REF!</v>
      </c>
      <c r="DM221" s="227" t="e">
        <f t="shared" si="312"/>
        <v>#REF!</v>
      </c>
      <c r="DN221" s="228" t="e">
        <f t="shared" si="267"/>
        <v>#REF!</v>
      </c>
      <c r="DO221" s="228">
        <f t="shared" si="313"/>
        <v>194.35242757490622</v>
      </c>
      <c r="DP221" s="228" t="e">
        <f t="shared" si="314"/>
        <v>#REF!</v>
      </c>
      <c r="DQ221" s="228" t="e">
        <f t="shared" si="315"/>
        <v>#REF!</v>
      </c>
    </row>
    <row r="222" spans="1:121">
      <c r="A222" s="132">
        <f t="shared" si="265"/>
        <v>212</v>
      </c>
      <c r="B222" s="18">
        <f t="shared" si="316"/>
        <v>212</v>
      </c>
      <c r="C222" s="18">
        <f>IF(A222=0," ",VLOOKUP(B222,'tosafot '!$A$7:$B$234,2,0))</f>
        <v>8.2025000000000006</v>
      </c>
      <c r="D222" s="220">
        <f t="shared" si="317"/>
        <v>228</v>
      </c>
      <c r="E222" s="130">
        <f t="shared" si="318"/>
        <v>12.2026</v>
      </c>
      <c r="F222" s="126">
        <f t="shared" si="319"/>
        <v>22</v>
      </c>
      <c r="G222" s="18" t="str">
        <f t="shared" si="320"/>
        <v>התחבורה</v>
      </c>
      <c r="H222" s="189">
        <f t="shared" si="321"/>
        <v>122</v>
      </c>
      <c r="I222" s="18">
        <f t="shared" si="322"/>
        <v>1</v>
      </c>
      <c r="J222" s="18" t="str">
        <f t="shared" si="323"/>
        <v>מינהלי - עובדי מדינה</v>
      </c>
      <c r="K222" s="189">
        <f t="shared" si="324"/>
        <v>1</v>
      </c>
      <c r="L222" s="18">
        <f t="shared" si="325"/>
        <v>12</v>
      </c>
      <c r="M222" s="129" t="str">
        <f t="shared" si="326"/>
        <v>17+</v>
      </c>
      <c r="N222" s="189"/>
      <c r="O222" s="132">
        <f t="shared" si="327"/>
        <v>1012</v>
      </c>
      <c r="P222" s="127">
        <f t="shared" si="328"/>
        <v>37</v>
      </c>
      <c r="Q222" s="127">
        <f t="shared" si="329"/>
        <v>36.75</v>
      </c>
      <c r="R222" s="128">
        <f t="shared" si="330"/>
        <v>148</v>
      </c>
      <c r="S222" s="130">
        <f t="shared" si="331"/>
        <v>1.4414995494685181</v>
      </c>
      <c r="T222" s="135">
        <f t="shared" si="268"/>
        <v>0</v>
      </c>
      <c r="U222" s="127">
        <f t="shared" si="269"/>
        <v>0</v>
      </c>
      <c r="V222" s="217">
        <v>0</v>
      </c>
      <c r="W222" s="191">
        <v>0</v>
      </c>
      <c r="X222" s="133">
        <v>0</v>
      </c>
      <c r="Y222" s="131">
        <f t="shared" si="270"/>
        <v>2438.5</v>
      </c>
      <c r="Z222" s="131">
        <f t="shared" si="271"/>
        <v>1076.5966513789815</v>
      </c>
      <c r="AA222" s="242">
        <f t="shared" si="272"/>
        <v>3515.0966513789817</v>
      </c>
      <c r="AB222" s="131">
        <f t="shared" si="273"/>
        <v>0</v>
      </c>
      <c r="AC222" s="131">
        <f t="shared" si="274"/>
        <v>140.60386605515927</v>
      </c>
      <c r="AD222" s="131">
        <f t="shared" si="275"/>
        <v>0</v>
      </c>
      <c r="AE222" s="131">
        <f t="shared" si="276"/>
        <v>0</v>
      </c>
      <c r="AF222" s="131">
        <f t="shared" si="277"/>
        <v>0</v>
      </c>
      <c r="AG222" s="131">
        <f t="shared" si="278"/>
        <v>0</v>
      </c>
      <c r="AH222" s="131">
        <f t="shared" si="279"/>
        <v>0</v>
      </c>
      <c r="AI222" s="131">
        <f t="shared" si="280"/>
        <v>0</v>
      </c>
      <c r="AJ222" s="131">
        <f t="shared" si="281"/>
        <v>0</v>
      </c>
      <c r="AK222" s="131"/>
      <c r="AL222" s="131">
        <f t="shared" si="282"/>
        <v>0</v>
      </c>
      <c r="AM222" s="131"/>
      <c r="AN222" s="243">
        <f t="shared" si="283"/>
        <v>0</v>
      </c>
      <c r="AO222" s="131">
        <f t="shared" si="284"/>
        <v>0</v>
      </c>
      <c r="AP222" s="131">
        <f t="shared" si="285"/>
        <v>0</v>
      </c>
      <c r="AQ222" s="131"/>
      <c r="AR222" s="131">
        <f t="shared" si="286"/>
        <v>0</v>
      </c>
      <c r="AS222" s="131">
        <f t="shared" si="332"/>
        <v>0</v>
      </c>
      <c r="AT222" s="131">
        <f t="shared" si="287"/>
        <v>0</v>
      </c>
      <c r="AU222" s="131">
        <f t="shared" si="288"/>
        <v>0</v>
      </c>
      <c r="AV222" s="131"/>
      <c r="AW222" s="131">
        <f t="shared" si="289"/>
        <v>0</v>
      </c>
      <c r="AX222" s="131">
        <f t="shared" si="343"/>
        <v>0</v>
      </c>
      <c r="AY222" s="131">
        <f t="shared" si="290"/>
        <v>0</v>
      </c>
      <c r="AZ222" s="131"/>
      <c r="BA222" s="131">
        <f t="shared" si="344"/>
        <v>0</v>
      </c>
      <c r="BB222" s="131"/>
      <c r="BC222" s="131"/>
      <c r="BD222" s="131">
        <f t="shared" si="291"/>
        <v>0</v>
      </c>
      <c r="BE222" s="131"/>
      <c r="BF222" s="131">
        <f t="shared" si="333"/>
        <v>0</v>
      </c>
      <c r="BG222" s="131">
        <f t="shared" si="334"/>
        <v>0</v>
      </c>
      <c r="BH222" s="131"/>
      <c r="BI222" s="131"/>
      <c r="BJ222" s="131"/>
      <c r="BK222" s="131">
        <f t="shared" si="335"/>
        <v>0</v>
      </c>
      <c r="BL222" s="131"/>
      <c r="BM222" s="131"/>
      <c r="BN222" s="131">
        <f t="shared" si="336"/>
        <v>0</v>
      </c>
      <c r="BO222" s="131"/>
      <c r="BP222" s="131">
        <f t="shared" si="337"/>
        <v>0</v>
      </c>
      <c r="BQ222" s="131"/>
      <c r="BR222" s="131"/>
      <c r="BS222" s="131"/>
      <c r="BT222" s="131"/>
      <c r="BU222" s="131"/>
      <c r="BV222" s="131">
        <f t="shared" si="338"/>
        <v>0</v>
      </c>
      <c r="BW222" s="131"/>
      <c r="BX222" s="131"/>
      <c r="BY222" s="131"/>
      <c r="BZ222" s="131">
        <f t="shared" si="339"/>
        <v>0</v>
      </c>
      <c r="CA222" s="131"/>
      <c r="CB222" s="136">
        <f t="shared" si="292"/>
        <v>160.55836672570746</v>
      </c>
      <c r="CC222" s="131">
        <f t="shared" si="293"/>
        <v>0</v>
      </c>
      <c r="CD222" s="136">
        <f t="shared" si="294"/>
        <v>0</v>
      </c>
      <c r="CE222" s="131">
        <f t="shared" si="342"/>
        <v>0</v>
      </c>
      <c r="CF222" s="136">
        <f t="shared" si="295"/>
        <v>0</v>
      </c>
      <c r="CG222" s="136"/>
      <c r="CH222" s="136">
        <f t="shared" si="341"/>
        <v>0</v>
      </c>
      <c r="CI222" s="131">
        <f t="shared" si="296"/>
        <v>0</v>
      </c>
      <c r="CJ222" s="131"/>
      <c r="CK222" s="136">
        <f t="shared" si="297"/>
        <v>0</v>
      </c>
      <c r="CL222" s="136">
        <f t="shared" si="298"/>
        <v>804.25411383551102</v>
      </c>
      <c r="CM222" s="131">
        <f t="shared" si="299"/>
        <v>0</v>
      </c>
      <c r="CN222" s="136">
        <f t="shared" si="300"/>
        <v>0</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f t="shared" si="306"/>
        <v>0</v>
      </c>
      <c r="DC222" s="131">
        <f t="shared" si="266"/>
        <v>0</v>
      </c>
      <c r="DD222" s="131">
        <f t="shared" si="307"/>
        <v>0</v>
      </c>
      <c r="DE222" s="131">
        <f t="shared" si="308"/>
        <v>0</v>
      </c>
      <c r="DF222" s="131">
        <f t="shared" si="309"/>
        <v>0</v>
      </c>
      <c r="DG222" s="131">
        <f t="shared" si="310"/>
        <v>0</v>
      </c>
      <c r="DH222" s="131"/>
      <c r="DI222" s="131"/>
      <c r="DJ222" s="131"/>
      <c r="DK222" s="137">
        <f t="shared" si="340"/>
        <v>4620.5129979953599</v>
      </c>
      <c r="DL222" s="227" t="e">
        <f t="shared" si="311"/>
        <v>#REF!</v>
      </c>
      <c r="DM222" s="227" t="e">
        <f t="shared" si="312"/>
        <v>#REF!</v>
      </c>
      <c r="DN222" s="228" t="e">
        <f t="shared" si="267"/>
        <v>#REF!</v>
      </c>
      <c r="DO222" s="228">
        <f t="shared" si="313"/>
        <v>194.35242757490622</v>
      </c>
      <c r="DP222" s="228" t="e">
        <f t="shared" si="314"/>
        <v>#REF!</v>
      </c>
      <c r="DQ222" s="228" t="e">
        <f t="shared" si="315"/>
        <v>#REF!</v>
      </c>
    </row>
    <row r="223" spans="1:121">
      <c r="A223" s="132">
        <f t="shared" si="265"/>
        <v>213</v>
      </c>
      <c r="B223" s="18">
        <f t="shared" si="316"/>
        <v>213</v>
      </c>
      <c r="C223" s="18">
        <f>IF(A223=0," ",VLOOKUP(B223,'tosafot '!$A$7:$B$234,2,0))</f>
        <v>9.2025000000000006</v>
      </c>
      <c r="D223" s="220">
        <f t="shared" si="317"/>
        <v>228</v>
      </c>
      <c r="E223" s="130">
        <f t="shared" si="318"/>
        <v>12.2026</v>
      </c>
      <c r="F223" s="126">
        <f t="shared" si="319"/>
        <v>22</v>
      </c>
      <c r="G223" s="18" t="str">
        <f t="shared" si="320"/>
        <v>התחבורה</v>
      </c>
      <c r="H223" s="189">
        <f t="shared" si="321"/>
        <v>122</v>
      </c>
      <c r="I223" s="18">
        <f t="shared" si="322"/>
        <v>1</v>
      </c>
      <c r="J223" s="18" t="str">
        <f t="shared" si="323"/>
        <v>מינהלי - עובדי מדינה</v>
      </c>
      <c r="K223" s="189">
        <f t="shared" si="324"/>
        <v>1</v>
      </c>
      <c r="L223" s="18">
        <f t="shared" si="325"/>
        <v>12</v>
      </c>
      <c r="M223" s="129" t="str">
        <f t="shared" si="326"/>
        <v>17+</v>
      </c>
      <c r="N223" s="189"/>
      <c r="O223" s="132">
        <f t="shared" si="327"/>
        <v>1012</v>
      </c>
      <c r="P223" s="127">
        <f t="shared" si="328"/>
        <v>37</v>
      </c>
      <c r="Q223" s="127">
        <f t="shared" si="329"/>
        <v>36.75</v>
      </c>
      <c r="R223" s="128">
        <f t="shared" si="330"/>
        <v>148</v>
      </c>
      <c r="S223" s="130">
        <f t="shared" si="331"/>
        <v>1.4414995494685181</v>
      </c>
      <c r="T223" s="135">
        <f t="shared" si="268"/>
        <v>0</v>
      </c>
      <c r="U223" s="127">
        <f t="shared" si="269"/>
        <v>0</v>
      </c>
      <c r="V223" s="217">
        <v>0</v>
      </c>
      <c r="W223" s="191">
        <v>0</v>
      </c>
      <c r="X223" s="133">
        <v>0</v>
      </c>
      <c r="Y223" s="131">
        <f t="shared" si="270"/>
        <v>2438.5</v>
      </c>
      <c r="Z223" s="131">
        <f t="shared" si="271"/>
        <v>1076.5966513789815</v>
      </c>
      <c r="AA223" s="242">
        <f t="shared" si="272"/>
        <v>3515.0966513789817</v>
      </c>
      <c r="AB223" s="131">
        <f t="shared" si="273"/>
        <v>0</v>
      </c>
      <c r="AC223" s="131">
        <f t="shared" si="274"/>
        <v>140.60386605515927</v>
      </c>
      <c r="AD223" s="131">
        <f t="shared" si="275"/>
        <v>0</v>
      </c>
      <c r="AE223" s="131">
        <f t="shared" si="276"/>
        <v>0</v>
      </c>
      <c r="AF223" s="131">
        <f t="shared" si="277"/>
        <v>0</v>
      </c>
      <c r="AG223" s="131">
        <f t="shared" si="278"/>
        <v>0</v>
      </c>
      <c r="AH223" s="131">
        <f t="shared" si="279"/>
        <v>0</v>
      </c>
      <c r="AI223" s="131">
        <f t="shared" si="280"/>
        <v>0</v>
      </c>
      <c r="AJ223" s="131">
        <f t="shared" si="281"/>
        <v>0</v>
      </c>
      <c r="AK223" s="131"/>
      <c r="AL223" s="131">
        <f t="shared" si="282"/>
        <v>0</v>
      </c>
      <c r="AM223" s="131"/>
      <c r="AN223" s="243">
        <f t="shared" si="283"/>
        <v>0</v>
      </c>
      <c r="AO223" s="131">
        <f t="shared" si="284"/>
        <v>0</v>
      </c>
      <c r="AP223" s="131">
        <f t="shared" si="285"/>
        <v>0</v>
      </c>
      <c r="AQ223" s="131"/>
      <c r="AR223" s="131">
        <f t="shared" si="286"/>
        <v>0</v>
      </c>
      <c r="AS223" s="131">
        <f t="shared" si="332"/>
        <v>0</v>
      </c>
      <c r="AT223" s="131">
        <f t="shared" si="287"/>
        <v>0</v>
      </c>
      <c r="AU223" s="131">
        <f t="shared" si="288"/>
        <v>0</v>
      </c>
      <c r="AV223" s="131"/>
      <c r="AW223" s="131">
        <f t="shared" si="289"/>
        <v>0</v>
      </c>
      <c r="AX223" s="131">
        <f t="shared" si="343"/>
        <v>0</v>
      </c>
      <c r="AY223" s="131">
        <f t="shared" si="290"/>
        <v>0</v>
      </c>
      <c r="AZ223" s="131"/>
      <c r="BA223" s="131">
        <f t="shared" si="344"/>
        <v>0</v>
      </c>
      <c r="BB223" s="131"/>
      <c r="BC223" s="131"/>
      <c r="BD223" s="131">
        <f t="shared" si="291"/>
        <v>0</v>
      </c>
      <c r="BE223" s="131"/>
      <c r="BF223" s="131">
        <f t="shared" si="333"/>
        <v>0</v>
      </c>
      <c r="BG223" s="131">
        <f t="shared" si="334"/>
        <v>0</v>
      </c>
      <c r="BH223" s="131"/>
      <c r="BI223" s="131"/>
      <c r="BJ223" s="131"/>
      <c r="BK223" s="131">
        <f t="shared" si="335"/>
        <v>0</v>
      </c>
      <c r="BL223" s="131"/>
      <c r="BM223" s="131"/>
      <c r="BN223" s="131">
        <f t="shared" si="336"/>
        <v>0</v>
      </c>
      <c r="BO223" s="131"/>
      <c r="BP223" s="131">
        <f t="shared" si="337"/>
        <v>0</v>
      </c>
      <c r="BQ223" s="131"/>
      <c r="BR223" s="131"/>
      <c r="BS223" s="131"/>
      <c r="BT223" s="131"/>
      <c r="BU223" s="131"/>
      <c r="BV223" s="131">
        <f t="shared" si="338"/>
        <v>0</v>
      </c>
      <c r="BW223" s="131"/>
      <c r="BX223" s="131"/>
      <c r="BY223" s="131"/>
      <c r="BZ223" s="131">
        <f t="shared" si="339"/>
        <v>0</v>
      </c>
      <c r="CA223" s="131"/>
      <c r="CB223" s="136">
        <f t="shared" si="292"/>
        <v>160.55836672570746</v>
      </c>
      <c r="CC223" s="131">
        <f t="shared" si="293"/>
        <v>0</v>
      </c>
      <c r="CD223" s="136">
        <f t="shared" si="294"/>
        <v>0</v>
      </c>
      <c r="CE223" s="131">
        <f t="shared" si="342"/>
        <v>0</v>
      </c>
      <c r="CF223" s="136">
        <f t="shared" si="295"/>
        <v>0</v>
      </c>
      <c r="CG223" s="136"/>
      <c r="CH223" s="136">
        <f t="shared" si="341"/>
        <v>0</v>
      </c>
      <c r="CI223" s="131">
        <f t="shared" si="296"/>
        <v>0</v>
      </c>
      <c r="CJ223" s="131"/>
      <c r="CK223" s="136">
        <f t="shared" si="297"/>
        <v>0</v>
      </c>
      <c r="CL223" s="136">
        <f t="shared" si="298"/>
        <v>804.25411383551102</v>
      </c>
      <c r="CM223" s="131">
        <f t="shared" si="299"/>
        <v>0</v>
      </c>
      <c r="CN223" s="136">
        <f t="shared" si="300"/>
        <v>0</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f t="shared" si="306"/>
        <v>0</v>
      </c>
      <c r="DC223" s="131">
        <f t="shared" si="266"/>
        <v>0</v>
      </c>
      <c r="DD223" s="131">
        <f t="shared" si="307"/>
        <v>0</v>
      </c>
      <c r="DE223" s="131">
        <f t="shared" si="308"/>
        <v>0</v>
      </c>
      <c r="DF223" s="131">
        <f t="shared" si="309"/>
        <v>0</v>
      </c>
      <c r="DG223" s="131">
        <f t="shared" si="310"/>
        <v>0</v>
      </c>
      <c r="DH223" s="131"/>
      <c r="DI223" s="131"/>
      <c r="DJ223" s="131"/>
      <c r="DK223" s="137">
        <f t="shared" si="340"/>
        <v>4620.5129979953599</v>
      </c>
      <c r="DL223" s="227" t="e">
        <f t="shared" si="311"/>
        <v>#REF!</v>
      </c>
      <c r="DM223" s="227" t="e">
        <f t="shared" si="312"/>
        <v>#REF!</v>
      </c>
      <c r="DN223" s="228" t="e">
        <f t="shared" si="267"/>
        <v>#REF!</v>
      </c>
      <c r="DO223" s="228">
        <f t="shared" si="313"/>
        <v>194.35242757490622</v>
      </c>
      <c r="DP223" s="228" t="e">
        <f t="shared" si="314"/>
        <v>#REF!</v>
      </c>
      <c r="DQ223" s="228" t="e">
        <f t="shared" si="315"/>
        <v>#REF!</v>
      </c>
    </row>
    <row r="224" spans="1:121">
      <c r="A224" s="132">
        <f t="shared" si="265"/>
        <v>214</v>
      </c>
      <c r="B224" s="18">
        <f t="shared" si="316"/>
        <v>214</v>
      </c>
      <c r="C224" s="18">
        <f>IF(A224=0," ",VLOOKUP(B224,'tosafot '!$A$7:$B$234,2,0))</f>
        <v>10.202500000000001</v>
      </c>
      <c r="D224" s="220">
        <f t="shared" si="317"/>
        <v>228</v>
      </c>
      <c r="E224" s="130">
        <f t="shared" si="318"/>
        <v>12.2026</v>
      </c>
      <c r="F224" s="126">
        <f t="shared" si="319"/>
        <v>22</v>
      </c>
      <c r="G224" s="18" t="str">
        <f t="shared" si="320"/>
        <v>התחבורה</v>
      </c>
      <c r="H224" s="189">
        <f t="shared" si="321"/>
        <v>122</v>
      </c>
      <c r="I224" s="18">
        <f t="shared" si="322"/>
        <v>1</v>
      </c>
      <c r="J224" s="18" t="str">
        <f t="shared" si="323"/>
        <v>מינהלי - עובדי מדינה</v>
      </c>
      <c r="K224" s="189">
        <f t="shared" si="324"/>
        <v>1</v>
      </c>
      <c r="L224" s="18">
        <f t="shared" si="325"/>
        <v>12</v>
      </c>
      <c r="M224" s="129" t="str">
        <f t="shared" si="326"/>
        <v>17+</v>
      </c>
      <c r="N224" s="189"/>
      <c r="O224" s="132">
        <f t="shared" si="327"/>
        <v>1012</v>
      </c>
      <c r="P224" s="127">
        <f t="shared" si="328"/>
        <v>37</v>
      </c>
      <c r="Q224" s="127">
        <f t="shared" si="329"/>
        <v>36.75</v>
      </c>
      <c r="R224" s="128">
        <f t="shared" si="330"/>
        <v>148</v>
      </c>
      <c r="S224" s="130">
        <f t="shared" si="331"/>
        <v>1.4414995494685181</v>
      </c>
      <c r="T224" s="135">
        <f t="shared" si="268"/>
        <v>0</v>
      </c>
      <c r="U224" s="127">
        <f t="shared" si="269"/>
        <v>0</v>
      </c>
      <c r="V224" s="217">
        <v>0</v>
      </c>
      <c r="W224" s="191">
        <v>0</v>
      </c>
      <c r="X224" s="133">
        <v>0</v>
      </c>
      <c r="Y224" s="131">
        <f t="shared" si="270"/>
        <v>2438.5</v>
      </c>
      <c r="Z224" s="131">
        <f t="shared" si="271"/>
        <v>1076.5966513789815</v>
      </c>
      <c r="AA224" s="242">
        <f t="shared" si="272"/>
        <v>3515.0966513789817</v>
      </c>
      <c r="AB224" s="131">
        <f t="shared" si="273"/>
        <v>0</v>
      </c>
      <c r="AC224" s="131">
        <f t="shared" si="274"/>
        <v>140.60386605515927</v>
      </c>
      <c r="AD224" s="131">
        <f t="shared" si="275"/>
        <v>0</v>
      </c>
      <c r="AE224" s="131">
        <f t="shared" si="276"/>
        <v>0</v>
      </c>
      <c r="AF224" s="131">
        <f t="shared" si="277"/>
        <v>0</v>
      </c>
      <c r="AG224" s="131">
        <f t="shared" si="278"/>
        <v>0</v>
      </c>
      <c r="AH224" s="131">
        <f t="shared" si="279"/>
        <v>0</v>
      </c>
      <c r="AI224" s="131">
        <f t="shared" si="280"/>
        <v>0</v>
      </c>
      <c r="AJ224" s="131">
        <f t="shared" si="281"/>
        <v>0</v>
      </c>
      <c r="AK224" s="131"/>
      <c r="AL224" s="131">
        <f t="shared" si="282"/>
        <v>0</v>
      </c>
      <c r="AM224" s="131"/>
      <c r="AN224" s="243">
        <f t="shared" si="283"/>
        <v>0</v>
      </c>
      <c r="AO224" s="131">
        <f t="shared" si="284"/>
        <v>0</v>
      </c>
      <c r="AP224" s="131">
        <f t="shared" si="285"/>
        <v>0</v>
      </c>
      <c r="AQ224" s="131"/>
      <c r="AR224" s="131">
        <f t="shared" si="286"/>
        <v>0</v>
      </c>
      <c r="AS224" s="131">
        <f t="shared" si="332"/>
        <v>0</v>
      </c>
      <c r="AT224" s="131">
        <f t="shared" si="287"/>
        <v>0</v>
      </c>
      <c r="AU224" s="131">
        <f t="shared" si="288"/>
        <v>0</v>
      </c>
      <c r="AV224" s="131"/>
      <c r="AW224" s="131">
        <f t="shared" si="289"/>
        <v>0</v>
      </c>
      <c r="AX224" s="131">
        <f t="shared" si="343"/>
        <v>0</v>
      </c>
      <c r="AY224" s="131">
        <f t="shared" si="290"/>
        <v>0</v>
      </c>
      <c r="AZ224" s="131"/>
      <c r="BA224" s="131">
        <f t="shared" si="344"/>
        <v>0</v>
      </c>
      <c r="BB224" s="131"/>
      <c r="BC224" s="131"/>
      <c r="BD224" s="131">
        <f t="shared" si="291"/>
        <v>0</v>
      </c>
      <c r="BE224" s="131"/>
      <c r="BF224" s="131">
        <f t="shared" si="333"/>
        <v>0</v>
      </c>
      <c r="BG224" s="131">
        <f t="shared" si="334"/>
        <v>0</v>
      </c>
      <c r="BH224" s="131"/>
      <c r="BI224" s="131"/>
      <c r="BJ224" s="131"/>
      <c r="BK224" s="131">
        <f t="shared" si="335"/>
        <v>0</v>
      </c>
      <c r="BL224" s="131"/>
      <c r="BM224" s="131"/>
      <c r="BN224" s="131">
        <f t="shared" si="336"/>
        <v>0</v>
      </c>
      <c r="BO224" s="131"/>
      <c r="BP224" s="131">
        <f t="shared" si="337"/>
        <v>0</v>
      </c>
      <c r="BQ224" s="131"/>
      <c r="BR224" s="131"/>
      <c r="BS224" s="131"/>
      <c r="BT224" s="131"/>
      <c r="BU224" s="131"/>
      <c r="BV224" s="131">
        <f t="shared" si="338"/>
        <v>0</v>
      </c>
      <c r="BW224" s="131"/>
      <c r="BX224" s="131"/>
      <c r="BY224" s="131"/>
      <c r="BZ224" s="131">
        <f t="shared" si="339"/>
        <v>0</v>
      </c>
      <c r="CA224" s="131"/>
      <c r="CB224" s="136">
        <f t="shared" si="292"/>
        <v>160.55836672570746</v>
      </c>
      <c r="CC224" s="131">
        <f t="shared" si="293"/>
        <v>0</v>
      </c>
      <c r="CD224" s="136">
        <f t="shared" si="294"/>
        <v>0</v>
      </c>
      <c r="CE224" s="131">
        <f t="shared" si="342"/>
        <v>0</v>
      </c>
      <c r="CF224" s="136">
        <f t="shared" si="295"/>
        <v>0</v>
      </c>
      <c r="CG224" s="136"/>
      <c r="CH224" s="136">
        <f t="shared" si="341"/>
        <v>0</v>
      </c>
      <c r="CI224" s="131">
        <f t="shared" si="296"/>
        <v>0</v>
      </c>
      <c r="CJ224" s="131"/>
      <c r="CK224" s="136">
        <f t="shared" si="297"/>
        <v>0</v>
      </c>
      <c r="CL224" s="136">
        <f t="shared" si="298"/>
        <v>804.25411383551102</v>
      </c>
      <c r="CM224" s="131">
        <f t="shared" si="299"/>
        <v>0</v>
      </c>
      <c r="CN224" s="136">
        <f t="shared" si="300"/>
        <v>0</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f t="shared" si="306"/>
        <v>0</v>
      </c>
      <c r="DC224" s="131">
        <f t="shared" si="266"/>
        <v>0</v>
      </c>
      <c r="DD224" s="131">
        <f t="shared" si="307"/>
        <v>0</v>
      </c>
      <c r="DE224" s="131">
        <f t="shared" si="308"/>
        <v>0</v>
      </c>
      <c r="DF224" s="131">
        <f t="shared" si="309"/>
        <v>0</v>
      </c>
      <c r="DG224" s="131">
        <f t="shared" si="310"/>
        <v>0</v>
      </c>
      <c r="DH224" s="131"/>
      <c r="DI224" s="131"/>
      <c r="DJ224" s="131"/>
      <c r="DK224" s="137">
        <f t="shared" si="340"/>
        <v>4620.5129979953599</v>
      </c>
      <c r="DL224" s="227" t="e">
        <f t="shared" si="311"/>
        <v>#REF!</v>
      </c>
      <c r="DM224" s="227" t="e">
        <f t="shared" si="312"/>
        <v>#REF!</v>
      </c>
      <c r="DN224" s="228" t="e">
        <f t="shared" si="267"/>
        <v>#REF!</v>
      </c>
      <c r="DO224" s="228">
        <f t="shared" si="313"/>
        <v>194.35242757490622</v>
      </c>
      <c r="DP224" s="228" t="e">
        <f t="shared" si="314"/>
        <v>#REF!</v>
      </c>
      <c r="DQ224" s="228" t="e">
        <f t="shared" si="315"/>
        <v>#REF!</v>
      </c>
    </row>
    <row r="225" spans="1:121">
      <c r="A225" s="132">
        <f t="shared" si="265"/>
        <v>215</v>
      </c>
      <c r="B225" s="18">
        <f t="shared" si="316"/>
        <v>215</v>
      </c>
      <c r="C225" s="18">
        <f>IF(A225=0," ",VLOOKUP(B225,'tosafot '!$A$7:$B$234,2,0))</f>
        <v>11.202500000000001</v>
      </c>
      <c r="D225" s="220">
        <f t="shared" si="317"/>
        <v>228</v>
      </c>
      <c r="E225" s="130">
        <f t="shared" si="318"/>
        <v>12.2026</v>
      </c>
      <c r="F225" s="126">
        <f t="shared" si="319"/>
        <v>22</v>
      </c>
      <c r="G225" s="18" t="str">
        <f t="shared" si="320"/>
        <v>התחבורה</v>
      </c>
      <c r="H225" s="189">
        <f t="shared" si="321"/>
        <v>122</v>
      </c>
      <c r="I225" s="18">
        <f t="shared" si="322"/>
        <v>1</v>
      </c>
      <c r="J225" s="18" t="str">
        <f t="shared" si="323"/>
        <v>מינהלי - עובדי מדינה</v>
      </c>
      <c r="K225" s="189">
        <f t="shared" si="324"/>
        <v>1</v>
      </c>
      <c r="L225" s="18">
        <f t="shared" si="325"/>
        <v>12</v>
      </c>
      <c r="M225" s="129" t="str">
        <f t="shared" si="326"/>
        <v>17+</v>
      </c>
      <c r="N225" s="189"/>
      <c r="O225" s="132">
        <f t="shared" si="327"/>
        <v>1012</v>
      </c>
      <c r="P225" s="127">
        <f t="shared" si="328"/>
        <v>37</v>
      </c>
      <c r="Q225" s="127">
        <f t="shared" si="329"/>
        <v>36.75</v>
      </c>
      <c r="R225" s="128">
        <f t="shared" si="330"/>
        <v>148</v>
      </c>
      <c r="S225" s="130">
        <f t="shared" si="331"/>
        <v>1.4414995494685181</v>
      </c>
      <c r="T225" s="135">
        <f t="shared" si="268"/>
        <v>0</v>
      </c>
      <c r="U225" s="127">
        <f t="shared" si="269"/>
        <v>0</v>
      </c>
      <c r="V225" s="217">
        <v>0</v>
      </c>
      <c r="W225" s="191">
        <v>0</v>
      </c>
      <c r="X225" s="133">
        <v>0</v>
      </c>
      <c r="Y225" s="131">
        <f t="shared" si="270"/>
        <v>2438.5</v>
      </c>
      <c r="Z225" s="131">
        <f t="shared" si="271"/>
        <v>1076.5966513789815</v>
      </c>
      <c r="AA225" s="242">
        <f t="shared" si="272"/>
        <v>3515.0966513789817</v>
      </c>
      <c r="AB225" s="131">
        <f t="shared" si="273"/>
        <v>0</v>
      </c>
      <c r="AC225" s="131">
        <f t="shared" si="274"/>
        <v>140.60386605515927</v>
      </c>
      <c r="AD225" s="131">
        <f t="shared" si="275"/>
        <v>0</v>
      </c>
      <c r="AE225" s="131">
        <f t="shared" si="276"/>
        <v>0</v>
      </c>
      <c r="AF225" s="131">
        <f t="shared" si="277"/>
        <v>0</v>
      </c>
      <c r="AG225" s="131">
        <f t="shared" si="278"/>
        <v>0</v>
      </c>
      <c r="AH225" s="131">
        <f t="shared" si="279"/>
        <v>0</v>
      </c>
      <c r="AI225" s="131">
        <f t="shared" si="280"/>
        <v>0</v>
      </c>
      <c r="AJ225" s="131">
        <f t="shared" si="281"/>
        <v>0</v>
      </c>
      <c r="AK225" s="131"/>
      <c r="AL225" s="131">
        <f t="shared" si="282"/>
        <v>0</v>
      </c>
      <c r="AM225" s="131"/>
      <c r="AN225" s="243">
        <f t="shared" si="283"/>
        <v>0</v>
      </c>
      <c r="AO225" s="131">
        <f t="shared" si="284"/>
        <v>0</v>
      </c>
      <c r="AP225" s="131">
        <f t="shared" si="285"/>
        <v>0</v>
      </c>
      <c r="AQ225" s="131"/>
      <c r="AR225" s="131">
        <f t="shared" si="286"/>
        <v>0</v>
      </c>
      <c r="AS225" s="131">
        <f t="shared" si="332"/>
        <v>0</v>
      </c>
      <c r="AT225" s="131">
        <f t="shared" si="287"/>
        <v>0</v>
      </c>
      <c r="AU225" s="131">
        <f t="shared" si="288"/>
        <v>0</v>
      </c>
      <c r="AV225" s="131"/>
      <c r="AW225" s="131">
        <f t="shared" si="289"/>
        <v>0</v>
      </c>
      <c r="AX225" s="131">
        <f t="shared" si="343"/>
        <v>0</v>
      </c>
      <c r="AY225" s="131">
        <f t="shared" si="290"/>
        <v>0</v>
      </c>
      <c r="AZ225" s="131"/>
      <c r="BA225" s="131">
        <f t="shared" si="344"/>
        <v>0</v>
      </c>
      <c r="BB225" s="131"/>
      <c r="BC225" s="131"/>
      <c r="BD225" s="131">
        <f t="shared" si="291"/>
        <v>0</v>
      </c>
      <c r="BE225" s="131"/>
      <c r="BF225" s="131">
        <f t="shared" si="333"/>
        <v>0</v>
      </c>
      <c r="BG225" s="131">
        <f t="shared" si="334"/>
        <v>0</v>
      </c>
      <c r="BH225" s="131"/>
      <c r="BI225" s="131"/>
      <c r="BJ225" s="131"/>
      <c r="BK225" s="131">
        <f t="shared" si="335"/>
        <v>0</v>
      </c>
      <c r="BL225" s="131"/>
      <c r="BM225" s="131"/>
      <c r="BN225" s="131">
        <f t="shared" si="336"/>
        <v>0</v>
      </c>
      <c r="BO225" s="131"/>
      <c r="BP225" s="131">
        <f t="shared" si="337"/>
        <v>0</v>
      </c>
      <c r="BQ225" s="131"/>
      <c r="BR225" s="131"/>
      <c r="BS225" s="131"/>
      <c r="BT225" s="131"/>
      <c r="BU225" s="131"/>
      <c r="BV225" s="131">
        <f t="shared" si="338"/>
        <v>0</v>
      </c>
      <c r="BW225" s="131"/>
      <c r="BX225" s="131"/>
      <c r="BY225" s="131"/>
      <c r="BZ225" s="131">
        <f t="shared" si="339"/>
        <v>0</v>
      </c>
      <c r="CA225" s="131"/>
      <c r="CB225" s="136">
        <f t="shared" si="292"/>
        <v>160.55836672570746</v>
      </c>
      <c r="CC225" s="131">
        <f t="shared" si="293"/>
        <v>0</v>
      </c>
      <c r="CD225" s="136">
        <f t="shared" si="294"/>
        <v>0</v>
      </c>
      <c r="CE225" s="131">
        <f t="shared" si="342"/>
        <v>0</v>
      </c>
      <c r="CF225" s="136">
        <f t="shared" si="295"/>
        <v>0</v>
      </c>
      <c r="CG225" s="136"/>
      <c r="CH225" s="136">
        <f t="shared" si="341"/>
        <v>0</v>
      </c>
      <c r="CI225" s="131">
        <f t="shared" si="296"/>
        <v>0</v>
      </c>
      <c r="CJ225" s="131"/>
      <c r="CK225" s="136">
        <f t="shared" si="297"/>
        <v>0</v>
      </c>
      <c r="CL225" s="136">
        <f t="shared" si="298"/>
        <v>804.25411383551102</v>
      </c>
      <c r="CM225" s="131">
        <f t="shared" si="299"/>
        <v>0</v>
      </c>
      <c r="CN225" s="136">
        <f t="shared" si="300"/>
        <v>0</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f t="shared" si="306"/>
        <v>0</v>
      </c>
      <c r="DC225" s="131">
        <f t="shared" si="266"/>
        <v>0</v>
      </c>
      <c r="DD225" s="131">
        <f t="shared" si="307"/>
        <v>0</v>
      </c>
      <c r="DE225" s="131">
        <f t="shared" si="308"/>
        <v>0</v>
      </c>
      <c r="DF225" s="131">
        <f t="shared" si="309"/>
        <v>0</v>
      </c>
      <c r="DG225" s="131">
        <f t="shared" si="310"/>
        <v>0</v>
      </c>
      <c r="DH225" s="131"/>
      <c r="DI225" s="131"/>
      <c r="DJ225" s="131"/>
      <c r="DK225" s="137">
        <f t="shared" si="340"/>
        <v>4620.5129979953599</v>
      </c>
      <c r="DL225" s="227" t="e">
        <f t="shared" si="311"/>
        <v>#REF!</v>
      </c>
      <c r="DM225" s="227" t="e">
        <f t="shared" si="312"/>
        <v>#REF!</v>
      </c>
      <c r="DN225" s="228" t="e">
        <f t="shared" si="267"/>
        <v>#REF!</v>
      </c>
      <c r="DO225" s="228">
        <f t="shared" si="313"/>
        <v>194.35242757490622</v>
      </c>
      <c r="DP225" s="228" t="e">
        <f t="shared" si="314"/>
        <v>#REF!</v>
      </c>
      <c r="DQ225" s="228" t="e">
        <f t="shared" si="315"/>
        <v>#REF!</v>
      </c>
    </row>
    <row r="226" spans="1:121">
      <c r="A226" s="132">
        <f t="shared" si="265"/>
        <v>216</v>
      </c>
      <c r="B226" s="18">
        <f t="shared" si="316"/>
        <v>216</v>
      </c>
      <c r="C226" s="18">
        <f>IF(A226=0," ",VLOOKUP(B226,'tosafot '!$A$7:$B$234,2,0))</f>
        <v>12.202500000000001</v>
      </c>
      <c r="D226" s="220">
        <f t="shared" si="317"/>
        <v>228</v>
      </c>
      <c r="E226" s="130">
        <f t="shared" si="318"/>
        <v>12.2026</v>
      </c>
      <c r="F226" s="126">
        <f t="shared" si="319"/>
        <v>22</v>
      </c>
      <c r="G226" s="18" t="str">
        <f t="shared" si="320"/>
        <v>התחבורה</v>
      </c>
      <c r="H226" s="189">
        <f t="shared" si="321"/>
        <v>122</v>
      </c>
      <c r="I226" s="18">
        <f t="shared" si="322"/>
        <v>1</v>
      </c>
      <c r="J226" s="18" t="str">
        <f t="shared" si="323"/>
        <v>מינהלי - עובדי מדינה</v>
      </c>
      <c r="K226" s="189">
        <f t="shared" si="324"/>
        <v>1</v>
      </c>
      <c r="L226" s="18">
        <f t="shared" si="325"/>
        <v>12</v>
      </c>
      <c r="M226" s="129" t="str">
        <f t="shared" si="326"/>
        <v>17+</v>
      </c>
      <c r="N226" s="189"/>
      <c r="O226" s="132">
        <f t="shared" si="327"/>
        <v>1012</v>
      </c>
      <c r="P226" s="127">
        <f t="shared" si="328"/>
        <v>37</v>
      </c>
      <c r="Q226" s="127">
        <f t="shared" si="329"/>
        <v>36.75</v>
      </c>
      <c r="R226" s="128">
        <f t="shared" si="330"/>
        <v>148</v>
      </c>
      <c r="S226" s="130">
        <f t="shared" si="331"/>
        <v>1.4414995494685181</v>
      </c>
      <c r="T226" s="135">
        <f t="shared" si="268"/>
        <v>0</v>
      </c>
      <c r="U226" s="127">
        <f t="shared" si="269"/>
        <v>0</v>
      </c>
      <c r="V226" s="217">
        <v>0</v>
      </c>
      <c r="W226" s="191">
        <v>0</v>
      </c>
      <c r="X226" s="133">
        <v>0</v>
      </c>
      <c r="Y226" s="131">
        <f t="shared" si="270"/>
        <v>2438.5</v>
      </c>
      <c r="Z226" s="131">
        <f t="shared" si="271"/>
        <v>1076.5966513789815</v>
      </c>
      <c r="AA226" s="242">
        <f t="shared" si="272"/>
        <v>3515.0966513789817</v>
      </c>
      <c r="AB226" s="131">
        <f t="shared" si="273"/>
        <v>0</v>
      </c>
      <c r="AC226" s="131">
        <f t="shared" si="274"/>
        <v>140.60386605515927</v>
      </c>
      <c r="AD226" s="131">
        <f t="shared" si="275"/>
        <v>0</v>
      </c>
      <c r="AE226" s="131">
        <f t="shared" si="276"/>
        <v>0</v>
      </c>
      <c r="AF226" s="131">
        <f t="shared" si="277"/>
        <v>0</v>
      </c>
      <c r="AG226" s="131">
        <f t="shared" si="278"/>
        <v>0</v>
      </c>
      <c r="AH226" s="131">
        <f t="shared" si="279"/>
        <v>0</v>
      </c>
      <c r="AI226" s="131">
        <f t="shared" si="280"/>
        <v>0</v>
      </c>
      <c r="AJ226" s="131">
        <f t="shared" si="281"/>
        <v>0</v>
      </c>
      <c r="AK226" s="131"/>
      <c r="AL226" s="131">
        <f t="shared" si="282"/>
        <v>0</v>
      </c>
      <c r="AM226" s="131"/>
      <c r="AN226" s="243">
        <f t="shared" si="283"/>
        <v>0</v>
      </c>
      <c r="AO226" s="131">
        <f t="shared" si="284"/>
        <v>0</v>
      </c>
      <c r="AP226" s="131">
        <f t="shared" si="285"/>
        <v>0</v>
      </c>
      <c r="AQ226" s="131"/>
      <c r="AR226" s="131">
        <f t="shared" si="286"/>
        <v>0</v>
      </c>
      <c r="AS226" s="131">
        <f t="shared" si="332"/>
        <v>0</v>
      </c>
      <c r="AT226" s="131">
        <f t="shared" si="287"/>
        <v>0</v>
      </c>
      <c r="AU226" s="131">
        <f t="shared" si="288"/>
        <v>0</v>
      </c>
      <c r="AV226" s="131"/>
      <c r="AW226" s="131">
        <f t="shared" si="289"/>
        <v>0</v>
      </c>
      <c r="AX226" s="131">
        <f t="shared" si="343"/>
        <v>0</v>
      </c>
      <c r="AY226" s="131">
        <f t="shared" si="290"/>
        <v>0</v>
      </c>
      <c r="AZ226" s="131"/>
      <c r="BA226" s="131">
        <f t="shared" si="344"/>
        <v>0</v>
      </c>
      <c r="BB226" s="131"/>
      <c r="BC226" s="131"/>
      <c r="BD226" s="131">
        <f t="shared" si="291"/>
        <v>0</v>
      </c>
      <c r="BE226" s="131"/>
      <c r="BF226" s="131">
        <f t="shared" si="333"/>
        <v>0</v>
      </c>
      <c r="BG226" s="131">
        <f t="shared" si="334"/>
        <v>0</v>
      </c>
      <c r="BH226" s="131"/>
      <c r="BI226" s="131"/>
      <c r="BJ226" s="131"/>
      <c r="BK226" s="131">
        <f t="shared" si="335"/>
        <v>0</v>
      </c>
      <c r="BL226" s="131"/>
      <c r="BM226" s="131"/>
      <c r="BN226" s="131">
        <f t="shared" si="336"/>
        <v>0</v>
      </c>
      <c r="BO226" s="131"/>
      <c r="BP226" s="131">
        <f t="shared" si="337"/>
        <v>0</v>
      </c>
      <c r="BQ226" s="131"/>
      <c r="BR226" s="131"/>
      <c r="BS226" s="131"/>
      <c r="BT226" s="131"/>
      <c r="BU226" s="131"/>
      <c r="BV226" s="131">
        <f t="shared" si="338"/>
        <v>0</v>
      </c>
      <c r="BW226" s="131"/>
      <c r="BX226" s="131"/>
      <c r="BY226" s="131"/>
      <c r="BZ226" s="131">
        <f t="shared" si="339"/>
        <v>0</v>
      </c>
      <c r="CA226" s="131"/>
      <c r="CB226" s="136">
        <f t="shared" si="292"/>
        <v>160.55836672570746</v>
      </c>
      <c r="CC226" s="131">
        <f t="shared" si="293"/>
        <v>0</v>
      </c>
      <c r="CD226" s="136">
        <f t="shared" si="294"/>
        <v>0</v>
      </c>
      <c r="CE226" s="131">
        <f t="shared" si="342"/>
        <v>0</v>
      </c>
      <c r="CF226" s="136">
        <f t="shared" si="295"/>
        <v>0</v>
      </c>
      <c r="CG226" s="136"/>
      <c r="CH226" s="136">
        <f t="shared" si="341"/>
        <v>0</v>
      </c>
      <c r="CI226" s="131">
        <f t="shared" si="296"/>
        <v>0</v>
      </c>
      <c r="CJ226" s="131"/>
      <c r="CK226" s="136">
        <f t="shared" si="297"/>
        <v>0</v>
      </c>
      <c r="CL226" s="136">
        <f t="shared" si="298"/>
        <v>804.25411383551102</v>
      </c>
      <c r="CM226" s="131">
        <f t="shared" si="299"/>
        <v>0</v>
      </c>
      <c r="CN226" s="136">
        <f t="shared" si="300"/>
        <v>0</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f t="shared" si="306"/>
        <v>0</v>
      </c>
      <c r="DC226" s="131">
        <f t="shared" si="266"/>
        <v>0</v>
      </c>
      <c r="DD226" s="131">
        <f t="shared" si="307"/>
        <v>0</v>
      </c>
      <c r="DE226" s="131">
        <f t="shared" si="308"/>
        <v>0</v>
      </c>
      <c r="DF226" s="131">
        <f t="shared" si="309"/>
        <v>0</v>
      </c>
      <c r="DG226" s="131">
        <f t="shared" si="310"/>
        <v>0</v>
      </c>
      <c r="DH226" s="131"/>
      <c r="DI226" s="131"/>
      <c r="DJ226" s="131"/>
      <c r="DK226" s="137">
        <f t="shared" si="340"/>
        <v>4620.5129979953599</v>
      </c>
      <c r="DL226" s="227" t="e">
        <f t="shared" si="311"/>
        <v>#REF!</v>
      </c>
      <c r="DM226" s="227" t="e">
        <f t="shared" si="312"/>
        <v>#REF!</v>
      </c>
      <c r="DN226" s="228" t="e">
        <f t="shared" si="267"/>
        <v>#REF!</v>
      </c>
      <c r="DO226" s="228">
        <f t="shared" si="313"/>
        <v>194.35242757490622</v>
      </c>
      <c r="DP226" s="228" t="e">
        <f t="shared" si="314"/>
        <v>#REF!</v>
      </c>
      <c r="DQ226" s="228" t="e">
        <f t="shared" si="315"/>
        <v>#REF!</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12</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1.2008000000000001</v>
      </c>
      <c r="G1">
        <v>1.2022999999999999</v>
      </c>
      <c r="I1">
        <v>10.202400000000001</v>
      </c>
      <c r="K1">
        <v>12.202400000000001</v>
      </c>
      <c r="M1">
        <v>12.202500000000001</v>
      </c>
      <c r="O1">
        <v>12.202500000000001</v>
      </c>
    </row>
    <row r="2" spans="1:20">
      <c r="B2" t="s">
        <v>252</v>
      </c>
      <c r="C2">
        <f>+'Netunei Gimlai'!B6</f>
        <v>1</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1.2008000000000001</v>
      </c>
      <c r="F2" s="2" t="e" cm="1">
        <f t="array" ref="F2">INDEX(H7:T232,C3,C1)</f>
        <v>#REF!</v>
      </c>
    </row>
    <row r="3" spans="2:19">
      <c r="B3" s="1" t="s">
        <v>252</v>
      </c>
      <c r="C3">
        <f>+'Netunei Gimlai'!B6</f>
        <v>1</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22</v>
      </c>
      <c r="F1" t="str">
        <f>VLOOKUP(E1,MISRAD!$A$5:$B$81,2,0)</f>
        <v>התחבורה</v>
      </c>
      <c r="G1">
        <f>VLOOKUP(E1,MISRAD!$A$5:$D$81,4,0)</f>
        <v>122</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1.2008000000000001</v>
      </c>
    </row>
    <row r="3" spans="1:12">
      <c r="A3" t="s">
        <v>1232</v>
      </c>
      <c r="C3">
        <f>+'Netunei Gimlai'!B6</f>
        <v>1</v>
      </c>
    </row>
    <row r="4" spans="1:12">
      <c r="A4" t="s">
        <v>1265</v>
      </c>
      <c r="C4">
        <f>VLOOKUP(C3,'tosafot '!C6:I234,7,0)</f>
        <v>102.5</v>
      </c>
    </row>
    <row r="5" spans="1:12">
      <c r="A5" t="s">
        <v>1266</v>
      </c>
      <c r="C5">
        <f>MAX(G10:G27)</f>
        <v>13</v>
      </c>
    </row>
    <row r="6" spans="1:12">
      <c r="A6" t="s">
        <v>1267</v>
      </c>
      <c r="C6">
        <f>MAX(F10:F27)</f>
        <v>105.8</v>
      </c>
    </row>
    <row r="7" spans="1:12">
      <c r="A7" t="s">
        <v>1268</v>
      </c>
      <c r="C7" s="249">
        <f>IF(C4&gt;=C6,0,(+C6/C4-1))</f>
        <v>3.2195121951219541E-2</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3.2195121951219541E-2</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12</v>
      </c>
      <c r="G2" s="106">
        <f>IF(C4&gt;=H6,H4,IF(C4&gt;=G6,G4,0))</f>
        <v>0</v>
      </c>
    </row>
    <row r="3" spans="1:12">
      <c r="B3" s="126" t="s">
        <v>58</v>
      </c>
      <c r="C3" s="189" cm="1">
        <f t="array" ref="C3">INDEX(kodderugdarga!$AJ$3:$AT$112,$C$2,$C$1)</f>
        <v>1012</v>
      </c>
    </row>
    <row r="4" spans="1:12" ht="15" thickBot="1">
      <c r="B4" s="276" t="s">
        <v>9</v>
      </c>
      <c r="C4" s="277">
        <f>+'Netunei Gimlai'!$B$6</f>
        <v>1</v>
      </c>
      <c r="G4" s="106">
        <f>IF(VLOOKUP($C$3,$E$8:F65,2,0)=1,G8,G22)</f>
        <v>7.0000000000000007E-2</v>
      </c>
      <c r="H4" s="106">
        <f>IF(VLOOKUP($C$3,$E$8:$F$65,2,0)=1,H8,H22)</f>
        <v>0.1</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1.2008000000000001</v>
      </c>
      <c r="D1" s="108" t="s">
        <v>1401</v>
      </c>
    </row>
    <row r="2" spans="1:17">
      <c r="A2" t="s">
        <v>252</v>
      </c>
      <c r="B2">
        <f>+'Netunei Gimlai'!B6</f>
        <v>1</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0" t="s">
        <v>1110</v>
      </c>
      <c r="C1" s="601"/>
      <c r="D1" s="600" t="s">
        <v>1111</v>
      </c>
      <c r="E1" s="601"/>
      <c r="F1" s="600" t="s">
        <v>1112</v>
      </c>
      <c r="G1" s="601"/>
      <c r="H1" s="600" t="s">
        <v>1113</v>
      </c>
      <c r="I1" s="601"/>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8" t="s">
        <v>1110</v>
      </c>
      <c r="C13" s="599"/>
      <c r="D13" s="598" t="s">
        <v>1111</v>
      </c>
      <c r="E13" s="599"/>
      <c r="F13" s="598" t="s">
        <v>1112</v>
      </c>
      <c r="G13" s="599"/>
      <c r="H13" s="598" t="s">
        <v>1113</v>
      </c>
      <c r="I13" s="599"/>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8" t="s">
        <v>1110</v>
      </c>
      <c r="C25" s="599"/>
      <c r="D25" s="598" t="s">
        <v>1111</v>
      </c>
      <c r="E25" s="599"/>
      <c r="F25" s="598" t="s">
        <v>1112</v>
      </c>
      <c r="G25" s="599"/>
      <c r="H25" s="598" t="s">
        <v>1113</v>
      </c>
      <c r="I25" s="599"/>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8" t="s">
        <v>1110</v>
      </c>
      <c r="C37" s="599"/>
      <c r="D37" s="598" t="s">
        <v>1111</v>
      </c>
      <c r="E37" s="599"/>
      <c r="F37" s="598" t="s">
        <v>1112</v>
      </c>
      <c r="G37" s="599"/>
      <c r="H37" s="598" t="s">
        <v>1113</v>
      </c>
      <c r="I37" s="599"/>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8" t="s">
        <v>1110</v>
      </c>
      <c r="C50" s="599"/>
      <c r="D50" s="598" t="s">
        <v>1111</v>
      </c>
      <c r="E50" s="599"/>
      <c r="F50" s="598" t="s">
        <v>1112</v>
      </c>
      <c r="G50" s="599"/>
      <c r="H50" s="598" t="s">
        <v>1113</v>
      </c>
      <c r="I50" s="599"/>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2026-08-04T07:14:49Z</dcterms:modified>
  <cp:category/>
  <cp:contentStatus/>
</cp:coreProperties>
</file>