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rafae\Desktop\Mentoria PBI\1. Tratamento de Dados\"/>
    </mc:Choice>
  </mc:AlternateContent>
  <xr:revisionPtr revIDLastSave="0" documentId="13_ncr:1_{A6A468A8-A7DA-42D7-840C-AA1E256EBC7C}" xr6:coauthVersionLast="47" xr6:coauthVersionMax="47" xr10:uidLastSave="{00000000-0000-0000-0000-000000000000}"/>
  <bookViews>
    <workbookView xWindow="-120" yWindow="-120" windowWidth="29040" windowHeight="15840" tabRatio="793" xr2:uid="{00000000-000D-0000-FFFF-FFFF00000000}"/>
  </bookViews>
  <sheets>
    <sheet name="Production" sheetId="2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A23" i="2" l="1"/>
  <c r="X23" i="2"/>
  <c r="O23" i="2"/>
  <c r="L23" i="2"/>
  <c r="F22" i="2"/>
  <c r="F23" i="2" s="1"/>
  <c r="E22" i="2"/>
  <c r="C23" i="2"/>
  <c r="E23" i="2" s="1"/>
  <c r="B23" i="2"/>
  <c r="O64" i="2"/>
  <c r="L64" i="2"/>
  <c r="F64" i="2"/>
  <c r="R63" i="2"/>
  <c r="U63" i="2" s="1"/>
  <c r="X63" i="2" s="1"/>
  <c r="AA63" i="2" s="1"/>
  <c r="AD63" i="2" s="1"/>
  <c r="AG63" i="2" s="1"/>
  <c r="O63" i="2"/>
  <c r="L63" i="2"/>
  <c r="I72" i="2"/>
  <c r="L72" i="2" s="1"/>
  <c r="O72" i="2" s="1"/>
  <c r="R72" i="2" s="1"/>
  <c r="U72" i="2" s="1"/>
  <c r="X72" i="2" s="1"/>
  <c r="AA72" i="2" s="1"/>
  <c r="AD72" i="2" s="1"/>
  <c r="AG72" i="2" s="1"/>
  <c r="F74" i="2"/>
  <c r="I74" i="2" s="1"/>
  <c r="L74" i="2" s="1"/>
  <c r="O74" i="2" s="1"/>
  <c r="R74" i="2" s="1"/>
  <c r="U74" i="2" s="1"/>
  <c r="X74" i="2" s="1"/>
  <c r="AA74" i="2" s="1"/>
  <c r="AD74" i="2" s="1"/>
  <c r="AG74" i="2" s="1"/>
  <c r="F72" i="2"/>
  <c r="F71" i="2"/>
  <c r="I71" i="2" s="1"/>
  <c r="L71" i="2" s="1"/>
  <c r="O71" i="2" s="1"/>
  <c r="R71" i="2" s="1"/>
  <c r="U71" i="2" s="1"/>
  <c r="X71" i="2" s="1"/>
  <c r="AA71" i="2" s="1"/>
  <c r="AD71" i="2" s="1"/>
  <c r="AG71" i="2" s="1"/>
  <c r="F20" i="2"/>
  <c r="F43" i="2" s="1"/>
  <c r="AG13" i="2"/>
  <c r="AG12" i="2"/>
  <c r="AD13" i="2"/>
  <c r="AD12" i="2"/>
  <c r="AA13" i="2"/>
  <c r="AA12" i="2"/>
  <c r="X13" i="2"/>
  <c r="AB13" i="2" s="1"/>
  <c r="X12" i="2"/>
  <c r="U13" i="2"/>
  <c r="U12" i="2"/>
  <c r="O13" i="2"/>
  <c r="O12" i="2"/>
  <c r="R13" i="2"/>
  <c r="V13" i="2" s="1"/>
  <c r="R12" i="2"/>
  <c r="V12" i="2" s="1"/>
  <c r="L13" i="2"/>
  <c r="L12" i="2"/>
  <c r="I13" i="2"/>
  <c r="I12" i="2"/>
  <c r="F13" i="2"/>
  <c r="F12" i="2"/>
  <c r="C13" i="2"/>
  <c r="C12" i="2"/>
  <c r="B13" i="2"/>
  <c r="B12" i="2"/>
  <c r="B52" i="2"/>
  <c r="B49" i="2"/>
  <c r="B50" i="2" s="1"/>
  <c r="C46" i="2"/>
  <c r="C47" i="2" s="1"/>
  <c r="AD26" i="2"/>
  <c r="AD34" i="2" s="1"/>
  <c r="AA26" i="2"/>
  <c r="AA42" i="2" s="1"/>
  <c r="X26" i="2"/>
  <c r="X35" i="2" s="1"/>
  <c r="U26" i="2"/>
  <c r="U34" i="2" s="1"/>
  <c r="R26" i="2"/>
  <c r="R34" i="2" s="1"/>
  <c r="AD35" i="2"/>
  <c r="AD27" i="2"/>
  <c r="AD36" i="2" s="1"/>
  <c r="R38" i="2"/>
  <c r="R31" i="2"/>
  <c r="R27" i="2"/>
  <c r="R36" i="2" s="1"/>
  <c r="O42" i="2"/>
  <c r="O38" i="2"/>
  <c r="O35" i="2"/>
  <c r="O34" i="2"/>
  <c r="O33" i="2"/>
  <c r="O32" i="2"/>
  <c r="O31" i="2"/>
  <c r="O30" i="2"/>
  <c r="O29" i="2"/>
  <c r="O28" i="2"/>
  <c r="O37" i="2" s="1"/>
  <c r="O27" i="2"/>
  <c r="O36" i="2" s="1"/>
  <c r="L42" i="2"/>
  <c r="L38" i="2"/>
  <c r="L35" i="2"/>
  <c r="L34" i="2"/>
  <c r="L33" i="2"/>
  <c r="L32" i="2"/>
  <c r="L31" i="2"/>
  <c r="L30" i="2"/>
  <c r="L29" i="2"/>
  <c r="L28" i="2"/>
  <c r="L37" i="2" s="1"/>
  <c r="L27" i="2"/>
  <c r="L40" i="2" s="1"/>
  <c r="I42" i="2"/>
  <c r="I38" i="2"/>
  <c r="I35" i="2"/>
  <c r="I34" i="2"/>
  <c r="I33" i="2"/>
  <c r="I32" i="2"/>
  <c r="I31" i="2"/>
  <c r="I30" i="2"/>
  <c r="I29" i="2"/>
  <c r="I28" i="2"/>
  <c r="I37" i="2" s="1"/>
  <c r="I27" i="2"/>
  <c r="I36" i="2" s="1"/>
  <c r="F42" i="2"/>
  <c r="F38" i="2"/>
  <c r="F35" i="2"/>
  <c r="F34" i="2"/>
  <c r="F33" i="2"/>
  <c r="F32" i="2"/>
  <c r="F31" i="2"/>
  <c r="F30" i="2"/>
  <c r="F29" i="2"/>
  <c r="F28" i="2"/>
  <c r="F37" i="2" s="1"/>
  <c r="F27" i="2"/>
  <c r="F36" i="2" s="1"/>
  <c r="C43" i="2"/>
  <c r="C42" i="2"/>
  <c r="C38" i="2"/>
  <c r="C35" i="2"/>
  <c r="C34" i="2"/>
  <c r="C33" i="2"/>
  <c r="C32" i="2"/>
  <c r="C31" i="2"/>
  <c r="C30" i="2"/>
  <c r="C29" i="2"/>
  <c r="C28" i="2"/>
  <c r="C37" i="2" s="1"/>
  <c r="C27" i="2"/>
  <c r="C40" i="2" s="1"/>
  <c r="B43" i="2"/>
  <c r="B42" i="2"/>
  <c r="B38" i="2"/>
  <c r="B35" i="2"/>
  <c r="B34" i="2"/>
  <c r="B33" i="2"/>
  <c r="B32" i="2"/>
  <c r="B31" i="2"/>
  <c r="B30" i="2"/>
  <c r="B29" i="2"/>
  <c r="B28" i="2"/>
  <c r="B37" i="2" s="1"/>
  <c r="B27" i="2"/>
  <c r="B36" i="2" s="1"/>
  <c r="H64" i="2"/>
  <c r="G64" i="2"/>
  <c r="E64" i="2"/>
  <c r="D64" i="2"/>
  <c r="R64" i="2" l="1"/>
  <c r="H23" i="2"/>
  <c r="H22" i="2"/>
  <c r="I22" i="2"/>
  <c r="AB12" i="2"/>
  <c r="AE12" i="2"/>
  <c r="AE13" i="2"/>
  <c r="I20" i="2"/>
  <c r="X32" i="2"/>
  <c r="X33" i="2"/>
  <c r="X28" i="2"/>
  <c r="X37" i="2" s="1"/>
  <c r="X38" i="2"/>
  <c r="X29" i="2"/>
  <c r="X42" i="2"/>
  <c r="R28" i="2"/>
  <c r="R37" i="2" s="1"/>
  <c r="R32" i="2"/>
  <c r="R42" i="2"/>
  <c r="AD28" i="2"/>
  <c r="AD37" i="2" s="1"/>
  <c r="AD38" i="2"/>
  <c r="R29" i="2"/>
  <c r="R33" i="2"/>
  <c r="AD31" i="2"/>
  <c r="R30" i="2"/>
  <c r="R35" i="2"/>
  <c r="AD32" i="2"/>
  <c r="U27" i="2"/>
  <c r="U36" i="2" s="1"/>
  <c r="U35" i="2"/>
  <c r="AA30" i="2"/>
  <c r="AA34" i="2"/>
  <c r="AA27" i="2"/>
  <c r="AA36" i="2" s="1"/>
  <c r="AA31" i="2"/>
  <c r="AA35" i="2"/>
  <c r="AA28" i="2"/>
  <c r="AA37" i="2" s="1"/>
  <c r="AA32" i="2"/>
  <c r="AA38" i="2"/>
  <c r="E38" i="2"/>
  <c r="E35" i="2"/>
  <c r="U31" i="2"/>
  <c r="AA29" i="2"/>
  <c r="AA33" i="2"/>
  <c r="E37" i="2"/>
  <c r="B40" i="2"/>
  <c r="F46" i="2"/>
  <c r="B41" i="2"/>
  <c r="AG26" i="2"/>
  <c r="F47" i="2"/>
  <c r="C49" i="2"/>
  <c r="AD29" i="2"/>
  <c r="AD33" i="2"/>
  <c r="AD42" i="2"/>
  <c r="AD30" i="2"/>
  <c r="X30" i="2"/>
  <c r="X34" i="2"/>
  <c r="X27" i="2"/>
  <c r="X36" i="2" s="1"/>
  <c r="X31" i="2"/>
  <c r="U29" i="2"/>
  <c r="U33" i="2"/>
  <c r="U42" i="2"/>
  <c r="U28" i="2"/>
  <c r="U37" i="2" s="1"/>
  <c r="U32" i="2"/>
  <c r="U38" i="2"/>
  <c r="U30" i="2"/>
  <c r="AD40" i="2"/>
  <c r="X41" i="2"/>
  <c r="U40" i="2"/>
  <c r="R40" i="2"/>
  <c r="O40" i="2"/>
  <c r="O41" i="2"/>
  <c r="L36" i="2"/>
  <c r="L41" i="2"/>
  <c r="I40" i="2"/>
  <c r="I41" i="2"/>
  <c r="F40" i="2"/>
  <c r="F41" i="2"/>
  <c r="C36" i="2"/>
  <c r="E36" i="2" s="1"/>
  <c r="C41" i="2"/>
  <c r="H46" i="2"/>
  <c r="AD41" i="2" l="1"/>
  <c r="U64" i="2"/>
  <c r="X64" i="2" s="1"/>
  <c r="I23" i="2"/>
  <c r="K23" i="2" s="1"/>
  <c r="N23" i="2" s="1"/>
  <c r="Q23" i="2" s="1"/>
  <c r="R22" i="2"/>
  <c r="K22" i="2"/>
  <c r="N22" i="2" s="1"/>
  <c r="Q22" i="2" s="1"/>
  <c r="I43" i="2"/>
  <c r="L20" i="2"/>
  <c r="R41" i="2"/>
  <c r="C50" i="2"/>
  <c r="C52" i="2" s="1"/>
  <c r="AA40" i="2"/>
  <c r="AA41" i="2"/>
  <c r="F49" i="2"/>
  <c r="G46" i="2"/>
  <c r="AG35" i="2"/>
  <c r="AG33" i="2"/>
  <c r="AG29" i="2"/>
  <c r="AG42" i="2"/>
  <c r="AG32" i="2"/>
  <c r="AG28" i="2"/>
  <c r="AG38" i="2"/>
  <c r="AG31" i="2"/>
  <c r="AG27" i="2"/>
  <c r="AG34" i="2"/>
  <c r="AG30" i="2"/>
  <c r="I46" i="2"/>
  <c r="I47" i="2"/>
  <c r="L47" i="2" s="1"/>
  <c r="X40" i="2"/>
  <c r="U41" i="2"/>
  <c r="AA64" i="2" l="1"/>
  <c r="U22" i="2"/>
  <c r="R23" i="2"/>
  <c r="T23" i="2"/>
  <c r="T22" i="2"/>
  <c r="L43" i="2"/>
  <c r="O20" i="2"/>
  <c r="R20" i="2" s="1"/>
  <c r="F50" i="2"/>
  <c r="F52" i="2" s="1"/>
  <c r="H52" i="2" s="1"/>
  <c r="I49" i="2"/>
  <c r="AG37" i="2"/>
  <c r="AG41" i="2"/>
  <c r="L46" i="2"/>
  <c r="O46" i="2" s="1"/>
  <c r="O47" i="2"/>
  <c r="AG36" i="2"/>
  <c r="AG40" i="2"/>
  <c r="AJ13" i="2"/>
  <c r="AJ12" i="2"/>
  <c r="W22" i="2" l="1"/>
  <c r="Z22" i="2" s="1"/>
  <c r="AC22" i="2" s="1"/>
  <c r="AD64" i="2"/>
  <c r="AG64" i="2" s="1"/>
  <c r="AF22" i="2"/>
  <c r="U23" i="2"/>
  <c r="W23" i="2" s="1"/>
  <c r="Z23" i="2" s="1"/>
  <c r="AC23" i="2" s="1"/>
  <c r="AD22" i="2"/>
  <c r="R43" i="2"/>
  <c r="U20" i="2"/>
  <c r="X20" i="2" s="1"/>
  <c r="O43" i="2"/>
  <c r="I50" i="2"/>
  <c r="I52" i="2" s="1"/>
  <c r="O49" i="2"/>
  <c r="R47" i="2"/>
  <c r="L49" i="2"/>
  <c r="R46" i="2"/>
  <c r="M46" i="2"/>
  <c r="AJ67" i="2"/>
  <c r="AG22" i="2" l="1"/>
  <c r="AG23" i="2" s="1"/>
  <c r="AD23" i="2"/>
  <c r="AF23" i="2" s="1"/>
  <c r="AI23" i="2" s="1"/>
  <c r="U43" i="2"/>
  <c r="AA20" i="2"/>
  <c r="AD20" i="2" s="1"/>
  <c r="AD43" i="2" s="1"/>
  <c r="X43" i="2"/>
  <c r="L50" i="2"/>
  <c r="L52" i="2" s="1"/>
  <c r="O50" i="2"/>
  <c r="O52" i="2" s="1"/>
  <c r="U47" i="2"/>
  <c r="R49" i="2"/>
  <c r="U46" i="2"/>
  <c r="AI22" i="2" l="1"/>
  <c r="AA43" i="2"/>
  <c r="AG20" i="2"/>
  <c r="AG43" i="2" s="1"/>
  <c r="X46" i="2"/>
  <c r="R50" i="2"/>
  <c r="R52" i="2" s="1"/>
  <c r="U49" i="2"/>
  <c r="X47" i="2"/>
  <c r="AF20" i="2"/>
  <c r="AF28" i="2"/>
  <c r="AF26" i="2"/>
  <c r="AE28" i="2"/>
  <c r="X49" i="2" l="1"/>
  <c r="X50" i="2" s="1"/>
  <c r="U50" i="2"/>
  <c r="U52" i="2" s="1"/>
  <c r="AA46" i="2"/>
  <c r="AA47" i="2"/>
  <c r="AF18" i="2"/>
  <c r="AE18" i="2"/>
  <c r="AJ10" i="2"/>
  <c r="X52" i="2" l="1"/>
  <c r="AA49" i="2"/>
  <c r="AD46" i="2"/>
  <c r="AD47" i="2"/>
  <c r="AG47" i="2" s="1"/>
  <c r="H67" i="2"/>
  <c r="H56" i="2"/>
  <c r="H59" i="2"/>
  <c r="H60" i="2"/>
  <c r="H61" i="2"/>
  <c r="H58" i="2"/>
  <c r="H47" i="2"/>
  <c r="H13" i="2"/>
  <c r="H12" i="2"/>
  <c r="E28" i="2"/>
  <c r="E31" i="2"/>
  <c r="E32" i="2"/>
  <c r="E33" i="2"/>
  <c r="E34" i="2"/>
  <c r="E40" i="2"/>
  <c r="E41" i="2"/>
  <c r="E42" i="2"/>
  <c r="E43" i="2"/>
  <c r="E26" i="2"/>
  <c r="E20" i="2"/>
  <c r="E18" i="2"/>
  <c r="E47" i="2"/>
  <c r="E13" i="2"/>
  <c r="E12" i="2"/>
  <c r="AA50" i="2" l="1"/>
  <c r="AA52" i="2" s="1"/>
  <c r="AD49" i="2"/>
  <c r="AG46" i="2"/>
  <c r="AG49" i="2" s="1"/>
  <c r="AJ63" i="2"/>
  <c r="AD50" i="2" l="1"/>
  <c r="AD52" i="2" s="1"/>
  <c r="AG50" i="2"/>
  <c r="AG52" i="2" s="1"/>
  <c r="AJ46" i="2"/>
  <c r="H63" i="2"/>
  <c r="E46" i="2"/>
  <c r="E63" i="2"/>
  <c r="AB63" i="2"/>
  <c r="AB46" i="2"/>
  <c r="AB50" i="2"/>
  <c r="Y50" i="2"/>
  <c r="Y46" i="2"/>
  <c r="Y13" i="2"/>
  <c r="Y12" i="2"/>
  <c r="M50" i="2"/>
  <c r="V46" i="2"/>
  <c r="V50" i="2"/>
  <c r="V63" i="2"/>
  <c r="S13" i="2"/>
  <c r="S46" i="2"/>
  <c r="S50" i="2"/>
  <c r="S63" i="2"/>
  <c r="S12" i="2"/>
  <c r="P13" i="2"/>
  <c r="P46" i="2"/>
  <c r="P50" i="2"/>
  <c r="P63" i="2"/>
  <c r="P12" i="2"/>
  <c r="M63" i="2"/>
  <c r="M13" i="2"/>
  <c r="M12" i="2"/>
  <c r="AB28" i="2"/>
  <c r="AB18" i="2"/>
  <c r="Y28" i="2"/>
  <c r="Y18" i="2"/>
  <c r="V18" i="2"/>
  <c r="V28" i="2"/>
  <c r="V40" i="2"/>
  <c r="V41" i="2"/>
  <c r="V42" i="2"/>
  <c r="V43" i="2"/>
  <c r="S28" i="2"/>
  <c r="S40" i="2"/>
  <c r="S41" i="2"/>
  <c r="S42" i="2"/>
  <c r="S43" i="2"/>
  <c r="P28" i="2"/>
  <c r="P40" i="2"/>
  <c r="P41" i="2"/>
  <c r="P42" i="2"/>
  <c r="P43" i="2"/>
  <c r="M28" i="2"/>
  <c r="M40" i="2"/>
  <c r="M41" i="2"/>
  <c r="M42" i="2"/>
  <c r="M43" i="2"/>
  <c r="G28" i="2"/>
  <c r="G40" i="2"/>
  <c r="G41" i="2"/>
  <c r="G42" i="2"/>
  <c r="G43" i="2"/>
  <c r="D28" i="2"/>
  <c r="S18" i="2"/>
  <c r="P18" i="2"/>
  <c r="M18" i="2"/>
  <c r="G18" i="2"/>
  <c r="D18" i="2"/>
  <c r="G63" i="2"/>
  <c r="D63" i="2"/>
  <c r="J46" i="2"/>
  <c r="J63" i="2"/>
  <c r="J75" i="2"/>
  <c r="J18" i="2"/>
  <c r="J28" i="2"/>
  <c r="J40" i="2"/>
  <c r="J41" i="2"/>
  <c r="J42" i="2"/>
  <c r="J43" i="2"/>
  <c r="J13" i="2"/>
  <c r="J12" i="2"/>
  <c r="D50" i="2"/>
  <c r="D46" i="2"/>
  <c r="G13" i="2"/>
  <c r="G12" i="2"/>
  <c r="D13" i="2"/>
  <c r="D12" i="2"/>
  <c r="S52" i="2" l="1"/>
  <c r="P52" i="2"/>
  <c r="AB52" i="2"/>
  <c r="M52" i="2"/>
  <c r="G52" i="2"/>
  <c r="J52" i="2"/>
  <c r="V52" i="2"/>
  <c r="Y52" i="2"/>
  <c r="AJ52" i="2" l="1"/>
  <c r="D52" i="2"/>
  <c r="E52" i="2"/>
  <c r="H49" i="2"/>
  <c r="G49" i="2"/>
  <c r="J49" i="2"/>
  <c r="E49" i="2"/>
  <c r="D49" i="2"/>
  <c r="S49" i="2"/>
  <c r="M49" i="2"/>
  <c r="V49" i="2"/>
  <c r="Y49" i="2"/>
  <c r="P49" i="2"/>
  <c r="AB49" i="2"/>
  <c r="AE27" i="2" l="1"/>
  <c r="AF27" i="2"/>
  <c r="AF29" i="2"/>
  <c r="AE29" i="2"/>
  <c r="AF30" i="2" l="1"/>
  <c r="AE30" i="2"/>
  <c r="V27" i="2"/>
  <c r="AB27" i="2" l="1"/>
  <c r="Y27" i="2"/>
  <c r="Y29" i="2" l="1"/>
  <c r="AB29" i="2"/>
  <c r="V30" i="2" l="1"/>
  <c r="V29" i="2"/>
  <c r="AB30" i="2"/>
  <c r="Y30" i="2"/>
  <c r="S29" i="2"/>
  <c r="S27" i="2"/>
  <c r="S30" i="2" l="1"/>
  <c r="P29" i="2"/>
  <c r="P27" i="2"/>
  <c r="P30" i="2" l="1"/>
  <c r="M29" i="2"/>
  <c r="M30" i="2" l="1"/>
  <c r="M27" i="2"/>
  <c r="J29" i="2"/>
  <c r="J27" i="2"/>
  <c r="J30" i="2" l="1"/>
  <c r="G27" i="2"/>
  <c r="G29" i="2"/>
  <c r="G30" i="2" l="1"/>
  <c r="E29" i="2" l="1"/>
  <c r="D29" i="2"/>
  <c r="E27" i="2" l="1"/>
  <c r="D27" i="2"/>
  <c r="AJ18" i="2"/>
  <c r="E30" i="2" l="1"/>
  <c r="D30" i="2"/>
  <c r="AJ59" i="2" l="1"/>
  <c r="AJ60" i="2"/>
  <c r="AJ61" i="2"/>
  <c r="AJ58" i="2"/>
  <c r="AJ56" i="2"/>
  <c r="AJ49" i="2"/>
  <c r="AJ47" i="2"/>
  <c r="J50" i="2" l="1"/>
  <c r="G50" i="2"/>
  <c r="AJ50" i="2" l="1"/>
  <c r="AJ30" i="2"/>
  <c r="AJ74" i="2"/>
  <c r="AJ28" i="2"/>
  <c r="AJ42" i="2"/>
  <c r="AJ75" i="2"/>
  <c r="AJ33" i="2"/>
  <c r="AJ31" i="2"/>
  <c r="AJ72" i="2"/>
  <c r="AJ43" i="2"/>
  <c r="AJ32" i="2"/>
  <c r="AJ71" i="2"/>
  <c r="AJ41" i="2"/>
  <c r="AJ34" i="2"/>
  <c r="AJ26" i="2"/>
  <c r="AJ27" i="2"/>
  <c r="AJ40" i="2"/>
  <c r="AJ20" i="2"/>
  <c r="AJ29" i="2"/>
</calcChain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17">
    <s v="GRAAL_EHS_Environment_FR"/>
    <s v="{[Entity].[Hierarchy].[Type L0].&amp;[GROUP L'OREAL].&amp;[ACTIVE SITES (GROUP)].&amp;[RI_AS_SS].&amp;[R_I].&amp;[AMER].&amp;[BRAZ].&amp;[AARIBR]}"/>
    <s v="{[Entity].[Division].[All]}"/>
    <s v="{[Time].[Y M].[Year].&amp;[2019]}"/>
    <s v="[Time Level].[All Members].[TimeLevel].&amp;[January]"/>
    <s v="[Time Level].[All Members].[TimeLevel].&amp;[February]"/>
    <s v="[Indicators].[EnvironmentHierarchy].&amp;[E_PC_WE_T1]"/>
    <s v="[Indicators].[EnvironmentHierarchy].&amp;[E_PC_AW]"/>
    <s v="[Indicators].[EnvironmentHierarchy].&amp;[E_PC_COE_T1]"/>
    <s v="[Indicators].[EnvironmentHierarchy].&amp;[E_PC_COE_T2]"/>
    <s v="[Indicators].[EnvironmentHierarchy].&amp;[E_PC_FE]"/>
    <s v="[Indicators].[EnvironmentHierarchy].&amp;[E_PC_CE]"/>
    <s v="[Indicators].[EnvironmentHierarchy].&amp;[E_WAD_VD_CO2]"/>
    <s v="[Indicators].[EnvironmentHierarchy].&amp;[E_WAD_VD_CO21]"/>
    <s v="[Indicators].[EnvironmentHierarchy].&amp;[E_WAD_VD_CO22]"/>
    <s v="[Indicators].[EnvironmentHierarchy].&amp;[E_EE_L_CPM2]"/>
    <s v="[Indicators].[EnvironmentHierarchy].&amp;[E_W_TWLAERP]"/>
  </metadataStrings>
  <mdxMetadata count="22">
    <mdx n="0" f="v">
      <t c="5">
        <n x="1" s="1"/>
        <n x="2" s="1"/>
        <n x="3" s="1"/>
        <n x="6"/>
        <n x="4"/>
      </t>
    </mdx>
    <mdx n="0" f="v">
      <t c="5">
        <n x="1" s="1"/>
        <n x="2" s="1"/>
        <n x="3" s="1"/>
        <n x="6"/>
        <n x="5"/>
      </t>
    </mdx>
    <mdx n="0" f="v">
      <t c="5">
        <n x="1" s="1"/>
        <n x="2" s="1"/>
        <n x="3" s="1"/>
        <n x="7"/>
        <n x="4"/>
      </t>
    </mdx>
    <mdx n="0" f="v">
      <t c="5">
        <n x="1" s="1"/>
        <n x="2" s="1"/>
        <n x="3" s="1"/>
        <n x="7"/>
        <n x="5"/>
      </t>
    </mdx>
    <mdx n="0" f="v">
      <t c="5">
        <n x="1" s="1"/>
        <n x="2" s="1"/>
        <n x="3" s="1"/>
        <n x="8"/>
        <n x="4"/>
      </t>
    </mdx>
    <mdx n="0" f="v">
      <t c="5">
        <n x="1" s="1"/>
        <n x="2" s="1"/>
        <n x="3" s="1"/>
        <n x="8"/>
        <n x="5"/>
      </t>
    </mdx>
    <mdx n="0" f="v">
      <t c="5">
        <n x="1" s="1"/>
        <n x="2" s="1"/>
        <n x="3" s="1"/>
        <n x="9"/>
        <n x="4"/>
      </t>
    </mdx>
    <mdx n="0" f="v">
      <t c="5">
        <n x="1" s="1"/>
        <n x="2" s="1"/>
        <n x="3" s="1"/>
        <n x="9"/>
        <n x="5"/>
      </t>
    </mdx>
    <mdx n="0" f="v">
      <t c="5">
        <n x="1" s="1"/>
        <n x="2" s="1"/>
        <n x="3" s="1"/>
        <n x="10"/>
        <n x="4"/>
      </t>
    </mdx>
    <mdx n="0" f="v">
      <t c="5">
        <n x="1" s="1"/>
        <n x="2" s="1"/>
        <n x="3" s="1"/>
        <n x="10"/>
        <n x="5"/>
      </t>
    </mdx>
    <mdx n="0" f="v">
      <t c="5">
        <n x="1" s="1"/>
        <n x="2" s="1"/>
        <n x="3" s="1"/>
        <n x="11"/>
        <n x="4"/>
      </t>
    </mdx>
    <mdx n="0" f="v">
      <t c="5">
        <n x="1" s="1"/>
        <n x="2" s="1"/>
        <n x="3" s="1"/>
        <n x="11"/>
        <n x="5"/>
      </t>
    </mdx>
    <mdx n="0" f="v">
      <t c="5">
        <n x="1" s="1"/>
        <n x="2" s="1"/>
        <n x="3" s="1"/>
        <n x="12"/>
        <n x="4"/>
      </t>
    </mdx>
    <mdx n="0" f="v">
      <t c="5">
        <n x="1" s="1"/>
        <n x="2" s="1"/>
        <n x="3" s="1"/>
        <n x="12"/>
        <n x="5"/>
      </t>
    </mdx>
    <mdx n="0" f="v">
      <t c="5">
        <n x="1" s="1"/>
        <n x="2" s="1"/>
        <n x="3" s="1"/>
        <n x="13"/>
        <n x="4"/>
      </t>
    </mdx>
    <mdx n="0" f="v">
      <t c="5">
        <n x="1" s="1"/>
        <n x="2" s="1"/>
        <n x="3" s="1"/>
        <n x="13"/>
        <n x="5"/>
      </t>
    </mdx>
    <mdx n="0" f="v">
      <t c="5">
        <n x="1" s="1"/>
        <n x="2" s="1"/>
        <n x="3" s="1"/>
        <n x="14"/>
        <n x="4"/>
      </t>
    </mdx>
    <mdx n="0" f="v">
      <t c="5">
        <n x="1" s="1"/>
        <n x="2" s="1"/>
        <n x="3" s="1"/>
        <n x="14"/>
        <n x="5"/>
      </t>
    </mdx>
    <mdx n="0" f="v">
      <t c="5">
        <n x="1" s="1"/>
        <n x="2" s="1"/>
        <n x="3" s="1"/>
        <n x="15"/>
        <n x="4"/>
      </t>
    </mdx>
    <mdx n="0" f="v">
      <t c="5">
        <n x="1" s="1"/>
        <n x="2" s="1"/>
        <n x="3" s="1"/>
        <n x="15"/>
        <n x="5"/>
      </t>
    </mdx>
    <mdx n="0" f="v">
      <t c="5">
        <n x="1" s="1"/>
        <n x="2" s="1"/>
        <n x="3" s="1"/>
        <n x="16"/>
        <n x="4"/>
      </t>
    </mdx>
    <mdx n="0" f="v">
      <t c="5">
        <n x="1" s="1"/>
        <n x="2" s="1"/>
        <n x="3" s="1"/>
        <n x="16"/>
        <n x="5"/>
      </t>
    </mdx>
  </mdxMetadata>
  <valueMetadata count="22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</valueMetadata>
</metadata>
</file>

<file path=xl/sharedStrings.xml><?xml version="1.0" encoding="utf-8"?>
<sst xmlns="http://schemas.openxmlformats.org/spreadsheetml/2006/main" count="229" uniqueCount="88">
  <si>
    <t>TOTAL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</si>
  <si>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</si>
  <si>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</si>
  <si>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</si>
  <si>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</si>
  <si>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</si>
  <si>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</si>
  <si>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</si>
  <si>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</si>
  <si>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</si>
  <si>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</si>
  <si>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</si>
  <si>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</si>
  <si>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Consumption</t>
  </si>
  <si>
    <t>SCOPE 1</t>
  </si>
  <si>
    <t>SCOPE 2</t>
  </si>
  <si>
    <t>Lighting energy consumption (kWh/m2)</t>
  </si>
  <si>
    <t/>
  </si>
  <si>
    <t>-</t>
  </si>
  <si>
    <t>STATUS DO REPORTE</t>
  </si>
  <si>
    <t>% VARIAÇÃO</t>
  </si>
  <si>
    <t>VARIAÇÃO REAL</t>
  </si>
  <si>
    <t>NUMBER OF DAYS WORKED</t>
  </si>
  <si>
    <t>2021</t>
  </si>
  <si>
    <t>EM REPORTE</t>
  </si>
  <si>
    <t>REPORTADO</t>
  </si>
  <si>
    <t>Horas trabalhadas</t>
  </si>
  <si>
    <t>Horas trabalhadas por terceiros (centenas)</t>
  </si>
  <si>
    <t>ATIVIDADE</t>
  </si>
  <si>
    <t>AGUA</t>
  </si>
  <si>
    <t>Fornecimento</t>
  </si>
  <si>
    <t>Volume de agua do municipio (m³)</t>
  </si>
  <si>
    <t>Volume de Agua coletada de poços (m³)</t>
  </si>
  <si>
    <t>Consumo de Agua</t>
  </si>
  <si>
    <t>Dados Produção</t>
  </si>
  <si>
    <t>Fossil</t>
  </si>
  <si>
    <t>Consumo de energia Fossil</t>
  </si>
  <si>
    <t>Consumo de energia renovável</t>
  </si>
  <si>
    <t>Consumo de energia elétrica</t>
  </si>
  <si>
    <t>Outros consumos de energia</t>
  </si>
  <si>
    <t>Nafta (kt)</t>
  </si>
  <si>
    <t>Renovável</t>
  </si>
  <si>
    <t>Etanol (kt)</t>
  </si>
  <si>
    <t>Eteno (kt)</t>
  </si>
  <si>
    <t>Propeno (kt)</t>
  </si>
  <si>
    <t>Outros</t>
  </si>
  <si>
    <t>Produção</t>
  </si>
  <si>
    <t>Butadieno (kt)</t>
  </si>
  <si>
    <t>Benzeno (kt)</t>
  </si>
  <si>
    <t>Tolueno (kt)</t>
  </si>
  <si>
    <t>Isoparafinas (kt)</t>
  </si>
  <si>
    <t>Ciclohexano (kt)</t>
  </si>
  <si>
    <t>Paraxileno (kt)</t>
  </si>
  <si>
    <t>Ortoxileno (kt)</t>
  </si>
  <si>
    <t>Primeira Geração</t>
  </si>
  <si>
    <t>Segunda Geração</t>
  </si>
  <si>
    <t>Polietileno (kt)</t>
  </si>
  <si>
    <t>Polipropileno (kt)</t>
  </si>
  <si>
    <t>Soda (kt)</t>
  </si>
  <si>
    <t>Dicloro Eteno (kt)</t>
  </si>
  <si>
    <t>PVC (kt)</t>
  </si>
  <si>
    <t>Polietileno renovável(kt)</t>
  </si>
  <si>
    <t>Isopreno (kt)</t>
  </si>
  <si>
    <t>DCPD (kt)</t>
  </si>
  <si>
    <t>Piperileno (kt)</t>
  </si>
  <si>
    <t>Gasolina (kt)</t>
  </si>
  <si>
    <t>MATÉRIA PRIMA</t>
  </si>
  <si>
    <t>Energia</t>
  </si>
  <si>
    <t>Emissoes</t>
  </si>
  <si>
    <t>Energia Renovável produzida no site (MWh)</t>
  </si>
  <si>
    <t>Energia elétrica (outras fontes) (MWh)</t>
  </si>
  <si>
    <t>Vapor (MWh)</t>
  </si>
  <si>
    <t>CO2</t>
  </si>
  <si>
    <t>Primeira Geração (m³)</t>
  </si>
  <si>
    <t>Segunda Geração (m³)</t>
  </si>
  <si>
    <t>Agua Reutilizada</t>
  </si>
  <si>
    <t>Trocadores de calor (m³)</t>
  </si>
  <si>
    <t>Fossil (MWh)</t>
  </si>
  <si>
    <t>Total funcionários</t>
  </si>
  <si>
    <t>Total terceiros</t>
  </si>
  <si>
    <t>CO2 Energia comprada</t>
  </si>
  <si>
    <t>CO2 Fossil (kt)</t>
  </si>
  <si>
    <t>CO2 Energia (kt)</t>
  </si>
  <si>
    <t>Biogas (MWh)</t>
  </si>
  <si>
    <t>Biomassa (MWh)</t>
  </si>
  <si>
    <t>Etanol (MWh)</t>
  </si>
  <si>
    <t>Aqeucimento solar (MWh)</t>
  </si>
  <si>
    <t>Energia Renovável comprada (MWh)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</si>
</sst>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00"/>
    <numFmt numFmtId="165" formatCode="_-* #,##0_-;\-* #,##0_-;_-* &quot;-&quot;??_-;_-@_-"/>
    <numFmt numFmtId="166" formatCode="0.0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theme="9" tint="-0.249977111117893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2"/>
      <color rgb="FF0066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rgb="FF0066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4"/>
      <color rgb="FF006600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9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6"/>
      <color rgb="FFFF0000"/>
      <name val="Calibri"/>
      <family val="2"/>
      <scheme val="minor"/>
    </font>
    <font>
      <i/>
      <sz val="11"/>
      <color theme="0"/>
      <name val="Calibri"/>
      <family val="2"/>
      <scheme val="minor"/>
    </font>
    <font>
      <b/>
      <i/>
      <sz val="12"/>
      <color rgb="FF006600"/>
      <name val="Calibri"/>
      <family val="2"/>
      <scheme val="minor"/>
    </font>
    <font>
      <b/>
      <i/>
      <sz val="16"/>
      <color rgb="FF006600"/>
      <name val="Calibri"/>
      <family val="2"/>
      <scheme val="minor"/>
    </font>
    <font>
      <b/>
      <i/>
      <sz val="14"/>
      <color rgb="FF0066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FFFF00"/>
      <name val="Calibri"/>
      <family val="2"/>
      <scheme val="minor"/>
    </font>
    <font>
      <u/>
      <sz val="14"/>
      <color theme="0"/>
      <name val="Calibri"/>
      <family val="2"/>
      <scheme val="minor"/>
    </font>
    <font>
      <b/>
      <sz val="10"/>
      <color rgb="FF92D05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1" tint="0.249977111117893"/>
        <bgColor indexed="64"/>
      </patternFill>
    </fill>
  </fills>
  <borders count="15">
    <border>
      <left/>
      <right/>
      <top/>
      <bottom/>
      <diagonal/>
    </border>
    <border>
      <left style="thin">
        <color rgb="FF336600"/>
      </left>
      <right style="thin">
        <color rgb="FF336600"/>
      </right>
      <top/>
      <bottom style="thin">
        <color rgb="FF336600"/>
      </bottom>
      <diagonal/>
    </border>
    <border>
      <left style="thin">
        <color rgb="FF336600"/>
      </left>
      <right style="thin">
        <color rgb="FF336600"/>
      </right>
      <top/>
      <bottom/>
      <diagonal/>
    </border>
    <border>
      <left/>
      <right/>
      <top style="thin">
        <color theme="2"/>
      </top>
      <bottom/>
      <diagonal/>
    </border>
    <border>
      <left/>
      <right/>
      <top/>
      <bottom style="thin">
        <color theme="2"/>
      </bottom>
      <diagonal/>
    </border>
    <border>
      <left style="thin">
        <color theme="2"/>
      </left>
      <right/>
      <top style="thin">
        <color theme="2"/>
      </top>
      <bottom/>
      <diagonal/>
    </border>
    <border>
      <left style="thin">
        <color theme="2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 tint="-0.24994659260841701"/>
      </right>
      <top style="thin">
        <color theme="2"/>
      </top>
      <bottom/>
      <diagonal/>
    </border>
    <border>
      <left style="thin">
        <color theme="0" tint="-0.24994659260841701"/>
      </left>
      <right/>
      <top style="thin">
        <color theme="2"/>
      </top>
      <bottom/>
      <diagonal/>
    </border>
    <border>
      <left style="medium">
        <color indexed="64"/>
      </left>
      <right style="medium">
        <color indexed="64"/>
      </right>
      <top style="thin">
        <color theme="2"/>
      </top>
      <bottom/>
      <diagonal/>
    </border>
    <border>
      <left/>
      <right style="dashDotDot">
        <color indexed="64"/>
      </right>
      <top/>
      <bottom/>
      <diagonal/>
    </border>
    <border>
      <left style="thin">
        <color theme="0" tint="-0.24994659260841701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3" fillId="0" borderId="0" applyNumberFormat="0" applyFill="0" applyBorder="0" applyAlignment="0" applyProtection="0"/>
  </cellStyleXfs>
  <cellXfs count="200">
    <xf numFmtId="0" fontId="0" fillId="0" borderId="0" xfId="0"/>
    <xf numFmtId="0" fontId="0" fillId="2" borderId="0" xfId="0" applyFill="1" applyAlignment="1">
      <alignment vertical="center"/>
    </xf>
    <xf numFmtId="0" fontId="0" fillId="2" borderId="0" xfId="0" applyFill="1"/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vertical="center" wrapText="1"/>
    </xf>
    <xf numFmtId="1" fontId="6" fillId="2" borderId="0" xfId="0" applyNumberFormat="1" applyFont="1" applyFill="1" applyAlignment="1">
      <alignment horizontal="center" vertical="center"/>
    </xf>
    <xf numFmtId="1" fontId="6" fillId="2" borderId="0" xfId="0" applyNumberFormat="1" applyFont="1" applyFill="1" applyAlignment="1">
      <alignment horizontal="center" vertical="center" wrapText="1"/>
    </xf>
    <xf numFmtId="9" fontId="7" fillId="2" borderId="0" xfId="2" applyFont="1" applyFill="1" applyAlignment="1" applyProtection="1">
      <alignment vertical="center" wrapText="1"/>
    </xf>
    <xf numFmtId="49" fontId="0" fillId="2" borderId="0" xfId="0" quotePrefix="1" applyNumberFormat="1" applyFill="1" applyAlignment="1">
      <alignment vertical="top" wrapText="1"/>
    </xf>
    <xf numFmtId="49" fontId="3" fillId="2" borderId="0" xfId="0" quotePrefix="1" applyNumberFormat="1" applyFont="1" applyFill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1" fontId="9" fillId="2" borderId="0" xfId="0" applyNumberFormat="1" applyFont="1" applyFill="1" applyAlignment="1">
      <alignment horizontal="center" vertical="center"/>
    </xf>
    <xf numFmtId="1" fontId="8" fillId="2" borderId="0" xfId="3" applyNumberFormat="1" applyFont="1" applyFill="1" applyBorder="1" applyAlignment="1" applyProtection="1">
      <alignment horizontal="center" vertical="center"/>
    </xf>
    <xf numFmtId="1" fontId="8" fillId="2" borderId="0" xfId="0" applyNumberFormat="1" applyFont="1" applyFill="1" applyAlignment="1">
      <alignment horizontal="center" vertical="center"/>
    </xf>
    <xf numFmtId="0" fontId="4" fillId="2" borderId="0" xfId="0" applyFont="1" applyFill="1" applyAlignment="1">
      <alignment vertical="center"/>
    </xf>
    <xf numFmtId="49" fontId="5" fillId="2" borderId="4" xfId="3" quotePrefix="1" applyNumberFormat="1" applyFont="1" applyFill="1" applyBorder="1" applyAlignment="1" applyProtection="1">
      <alignment vertical="center" wrapText="1"/>
    </xf>
    <xf numFmtId="0" fontId="0" fillId="10" borderId="5" xfId="0" applyFill="1" applyBorder="1"/>
    <xf numFmtId="0" fontId="0" fillId="10" borderId="3" xfId="0" applyFill="1" applyBorder="1"/>
    <xf numFmtId="0" fontId="0" fillId="0" borderId="6" xfId="0" applyBorder="1"/>
    <xf numFmtId="0" fontId="0" fillId="4" borderId="6" xfId="0" applyFill="1" applyBorder="1"/>
    <xf numFmtId="0" fontId="0" fillId="4" borderId="0" xfId="0" applyFill="1"/>
    <xf numFmtId="0" fontId="0" fillId="8" borderId="6" xfId="0" applyFill="1" applyBorder="1"/>
    <xf numFmtId="0" fontId="0" fillId="8" borderId="0" xfId="0" applyFill="1"/>
    <xf numFmtId="0" fontId="0" fillId="9" borderId="6" xfId="0" applyFill="1" applyBorder="1"/>
    <xf numFmtId="0" fontId="0" fillId="9" borderId="0" xfId="0" applyFill="1"/>
    <xf numFmtId="0" fontId="0" fillId="5" borderId="6" xfId="0" applyFill="1" applyBorder="1"/>
    <xf numFmtId="0" fontId="0" fillId="5" borderId="0" xfId="0" applyFill="1"/>
    <xf numFmtId="0" fontId="0" fillId="7" borderId="6" xfId="0" applyFill="1" applyBorder="1"/>
    <xf numFmtId="0" fontId="0" fillId="7" borderId="0" xfId="0" applyFill="1"/>
    <xf numFmtId="0" fontId="0" fillId="11" borderId="6" xfId="0" applyFill="1" applyBorder="1"/>
    <xf numFmtId="0" fontId="0" fillId="6" borderId="0" xfId="0" applyFill="1"/>
    <xf numFmtId="0" fontId="0" fillId="12" borderId="6" xfId="0" applyFill="1" applyBorder="1"/>
    <xf numFmtId="0" fontId="0" fillId="12" borderId="0" xfId="0" applyFill="1"/>
    <xf numFmtId="0" fontId="0" fillId="0" borderId="0" xfId="0" applyAlignment="1">
      <alignment horizontal="center" vertical="center"/>
    </xf>
    <xf numFmtId="0" fontId="0" fillId="9" borderId="0" xfId="0" applyFill="1" applyAlignment="1">
      <alignment horizontal="center" vertical="center"/>
    </xf>
    <xf numFmtId="165" fontId="0" fillId="0" borderId="0" xfId="1" applyNumberFormat="1" applyFont="1" applyBorder="1" applyAlignment="1">
      <alignment horizontal="center" vertical="center"/>
    </xf>
    <xf numFmtId="165" fontId="0" fillId="0" borderId="0" xfId="1" applyNumberFormat="1" applyFont="1" applyFill="1" applyBorder="1" applyAlignment="1">
      <alignment horizontal="center" vertical="center"/>
    </xf>
    <xf numFmtId="43" fontId="0" fillId="0" borderId="0" xfId="0" applyNumberFormat="1" applyAlignment="1">
      <alignment horizontal="center" vertical="center"/>
    </xf>
    <xf numFmtId="2" fontId="0" fillId="9" borderId="0" xfId="0" applyNumberFormat="1" applyFill="1" applyAlignment="1">
      <alignment horizontal="center" vertical="center"/>
    </xf>
    <xf numFmtId="0" fontId="0" fillId="0" borderId="6" xfId="0" applyBorder="1" applyAlignment="1">
      <alignment vertical="center"/>
    </xf>
    <xf numFmtId="0" fontId="0" fillId="0" borderId="6" xfId="0" applyBorder="1" applyAlignment="1">
      <alignment vertical="top"/>
    </xf>
    <xf numFmtId="1" fontId="6" fillId="2" borderId="0" xfId="0" applyNumberFormat="1" applyFont="1" applyFill="1" applyAlignment="1">
      <alignment horizontal="left" vertical="center"/>
    </xf>
    <xf numFmtId="0" fontId="15" fillId="2" borderId="0" xfId="0" applyFont="1" applyFill="1" applyAlignment="1">
      <alignment vertical="center"/>
    </xf>
    <xf numFmtId="0" fontId="0" fillId="11" borderId="6" xfId="0" applyFill="1" applyBorder="1" applyAlignment="1">
      <alignment horizontal="center"/>
    </xf>
    <xf numFmtId="0" fontId="0" fillId="11" borderId="6" xfId="0" applyFill="1" applyBorder="1" applyAlignment="1">
      <alignment horizontal="right"/>
    </xf>
    <xf numFmtId="0" fontId="0" fillId="12" borderId="0" xfId="0" applyFill="1" applyAlignment="1">
      <alignment horizontal="right"/>
    </xf>
    <xf numFmtId="0" fontId="3" fillId="9" borderId="0" xfId="0" applyFont="1" applyFill="1"/>
    <xf numFmtId="43" fontId="0" fillId="0" borderId="0" xfId="1" applyFont="1" applyFill="1" applyBorder="1" applyAlignment="1">
      <alignment horizontal="center" vertical="center"/>
    </xf>
    <xf numFmtId="43" fontId="0" fillId="0" borderId="0" xfId="1" applyFont="1" applyBorder="1" applyAlignment="1">
      <alignment horizontal="center" vertical="center"/>
    </xf>
    <xf numFmtId="49" fontId="12" fillId="13" borderId="0" xfId="4" quotePrefix="1" applyNumberFormat="1" applyFont="1" applyFill="1" applyBorder="1" applyAlignment="1" applyProtection="1">
      <alignment horizontal="left" vertical="center" wrapText="1"/>
    </xf>
    <xf numFmtId="0" fontId="16" fillId="2" borderId="0" xfId="0" applyFont="1" applyFill="1" applyAlignment="1">
      <alignment vertical="center"/>
    </xf>
    <xf numFmtId="0" fontId="17" fillId="2" borderId="0" xfId="0" applyFont="1" applyFill="1" applyAlignment="1">
      <alignment vertical="center"/>
    </xf>
    <xf numFmtId="0" fontId="16" fillId="2" borderId="0" xfId="0" applyFont="1" applyFill="1"/>
    <xf numFmtId="1" fontId="19" fillId="2" borderId="0" xfId="0" applyNumberFormat="1" applyFont="1" applyFill="1" applyAlignment="1">
      <alignment horizontal="center" vertical="center"/>
    </xf>
    <xf numFmtId="0" fontId="16" fillId="10" borderId="3" xfId="0" applyFont="1" applyFill="1" applyBorder="1"/>
    <xf numFmtId="9" fontId="16" fillId="0" borderId="0" xfId="2" applyFont="1" applyFill="1" applyBorder="1" applyAlignment="1">
      <alignment horizontal="center" vertical="center"/>
    </xf>
    <xf numFmtId="0" fontId="16" fillId="0" borderId="0" xfId="0" applyFont="1"/>
    <xf numFmtId="0" fontId="16" fillId="5" borderId="0" xfId="0" applyFont="1" applyFill="1"/>
    <xf numFmtId="0" fontId="16" fillId="7" borderId="0" xfId="0" applyFont="1" applyFill="1"/>
    <xf numFmtId="0" fontId="16" fillId="11" borderId="0" xfId="0" applyFont="1" applyFill="1"/>
    <xf numFmtId="0" fontId="16" fillId="12" borderId="0" xfId="0" applyFont="1" applyFill="1"/>
    <xf numFmtId="0" fontId="16" fillId="11" borderId="6" xfId="0" applyFont="1" applyFill="1" applyBorder="1"/>
    <xf numFmtId="0" fontId="16" fillId="11" borderId="6" xfId="0" applyFont="1" applyFill="1" applyBorder="1" applyAlignment="1">
      <alignment horizontal="center"/>
    </xf>
    <xf numFmtId="0" fontId="16" fillId="6" borderId="0" xfId="0" applyFont="1" applyFill="1"/>
    <xf numFmtId="1" fontId="21" fillId="2" borderId="0" xfId="0" applyNumberFormat="1" applyFont="1" applyFill="1" applyAlignment="1">
      <alignment horizontal="center" vertical="center"/>
    </xf>
    <xf numFmtId="1" fontId="21" fillId="2" borderId="0" xfId="0" applyNumberFormat="1" applyFont="1" applyFill="1" applyAlignment="1">
      <alignment horizontal="left" vertical="center"/>
    </xf>
    <xf numFmtId="49" fontId="20" fillId="2" borderId="0" xfId="0" quotePrefix="1" applyNumberFormat="1" applyFont="1" applyFill="1" applyAlignment="1">
      <alignment horizontal="center" vertical="center"/>
    </xf>
    <xf numFmtId="1" fontId="22" fillId="2" borderId="0" xfId="3" applyNumberFormat="1" applyFont="1" applyFill="1" applyBorder="1" applyAlignment="1" applyProtection="1">
      <alignment horizontal="center" vertical="center"/>
    </xf>
    <xf numFmtId="0" fontId="18" fillId="2" borderId="0" xfId="0" applyFont="1" applyFill="1" applyAlignment="1">
      <alignment vertical="center"/>
    </xf>
    <xf numFmtId="0" fontId="18" fillId="2" borderId="0" xfId="0" applyFont="1" applyFill="1" applyAlignment="1">
      <alignment vertical="center" wrapText="1"/>
    </xf>
    <xf numFmtId="1" fontId="22" fillId="2" borderId="0" xfId="0" applyNumberFormat="1" applyFont="1" applyFill="1" applyAlignment="1">
      <alignment horizontal="center" vertical="center"/>
    </xf>
    <xf numFmtId="1" fontId="23" fillId="2" borderId="4" xfId="3" applyNumberFormat="1" applyFont="1" applyFill="1" applyBorder="1" applyAlignment="1" applyProtection="1">
      <alignment horizontal="center" vertical="center"/>
    </xf>
    <xf numFmtId="1" fontId="21" fillId="2" borderId="0" xfId="0" applyNumberFormat="1" applyFont="1" applyFill="1" applyAlignment="1">
      <alignment horizontal="center" vertical="center" wrapText="1"/>
    </xf>
    <xf numFmtId="9" fontId="18" fillId="2" borderId="0" xfId="2" applyFont="1" applyFill="1" applyAlignment="1" applyProtection="1">
      <alignment vertical="center" wrapText="1"/>
    </xf>
    <xf numFmtId="9" fontId="16" fillId="14" borderId="0" xfId="2" applyFont="1" applyFill="1" applyBorder="1" applyAlignment="1">
      <alignment horizontal="center" vertical="center"/>
    </xf>
    <xf numFmtId="0" fontId="16" fillId="14" borderId="0" xfId="0" applyFont="1" applyFill="1" applyAlignment="1">
      <alignment horizontal="center" vertical="center"/>
    </xf>
    <xf numFmtId="43" fontId="16" fillId="14" borderId="0" xfId="1" applyFont="1" applyFill="1" applyBorder="1" applyAlignment="1">
      <alignment horizontal="center" vertical="center"/>
    </xf>
    <xf numFmtId="165" fontId="16" fillId="14" borderId="0" xfId="1" applyNumberFormat="1" applyFont="1" applyFill="1" applyBorder="1" applyAlignment="1">
      <alignment horizontal="center" vertical="center"/>
    </xf>
    <xf numFmtId="0" fontId="16" fillId="14" borderId="0" xfId="0" applyFont="1" applyFill="1" applyAlignment="1">
      <alignment horizontal="center"/>
    </xf>
    <xf numFmtId="164" fontId="16" fillId="14" borderId="0" xfId="0" applyNumberFormat="1" applyFont="1" applyFill="1" applyAlignment="1">
      <alignment horizontal="center"/>
    </xf>
    <xf numFmtId="166" fontId="16" fillId="14" borderId="0" xfId="0" applyNumberFormat="1" applyFont="1" applyFill="1" applyAlignment="1">
      <alignment horizontal="center" vertical="center"/>
    </xf>
    <xf numFmtId="164" fontId="16" fillId="14" borderId="0" xfId="0" applyNumberFormat="1" applyFont="1" applyFill="1" applyAlignment="1">
      <alignment horizontal="right" vertical="center"/>
    </xf>
    <xf numFmtId="0" fontId="16" fillId="14" borderId="0" xfId="0" applyFont="1" applyFill="1" applyAlignment="1">
      <alignment horizontal="right" vertical="center"/>
    </xf>
    <xf numFmtId="1" fontId="16" fillId="14" borderId="0" xfId="0" applyNumberFormat="1" applyFont="1" applyFill="1" applyAlignment="1">
      <alignment horizontal="right" vertical="center"/>
    </xf>
    <xf numFmtId="0" fontId="7" fillId="2" borderId="8" xfId="0" applyFont="1" applyFill="1" applyBorder="1" applyAlignment="1">
      <alignment horizontal="center" vertical="center" wrapText="1"/>
    </xf>
    <xf numFmtId="0" fontId="0" fillId="10" borderId="11" xfId="0" applyFill="1" applyBorder="1"/>
    <xf numFmtId="0" fontId="2" fillId="0" borderId="8" xfId="0" applyFont="1" applyBorder="1" applyAlignment="1">
      <alignment horizontal="center" vertical="center"/>
    </xf>
    <xf numFmtId="0" fontId="2" fillId="4" borderId="8" xfId="0" applyFont="1" applyFill="1" applyBorder="1"/>
    <xf numFmtId="0" fontId="2" fillId="8" borderId="8" xfId="0" applyFont="1" applyFill="1" applyBorder="1"/>
    <xf numFmtId="165" fontId="2" fillId="0" borderId="8" xfId="1" applyNumberFormat="1" applyFont="1" applyBorder="1" applyAlignment="1">
      <alignment horizontal="center" vertical="center"/>
    </xf>
    <xf numFmtId="0" fontId="2" fillId="9" borderId="8" xfId="0" applyFont="1" applyFill="1" applyBorder="1"/>
    <xf numFmtId="165" fontId="2" fillId="0" borderId="8" xfId="1" applyNumberFormat="1" applyFont="1" applyBorder="1"/>
    <xf numFmtId="0" fontId="2" fillId="9" borderId="8" xfId="0" applyFont="1" applyFill="1" applyBorder="1" applyAlignment="1">
      <alignment horizontal="center" vertical="center"/>
    </xf>
    <xf numFmtId="0" fontId="0" fillId="5" borderId="8" xfId="0" applyFill="1" applyBorder="1"/>
    <xf numFmtId="0" fontId="0" fillId="7" borderId="8" xfId="0" applyFill="1" applyBorder="1"/>
    <xf numFmtId="0" fontId="0" fillId="11" borderId="8" xfId="0" applyFill="1" applyBorder="1"/>
    <xf numFmtId="0" fontId="0" fillId="12" borderId="8" xfId="0" applyFill="1" applyBorder="1"/>
    <xf numFmtId="0" fontId="2" fillId="12" borderId="8" xfId="0" applyFont="1" applyFill="1" applyBorder="1"/>
    <xf numFmtId="165" fontId="2" fillId="0" borderId="8" xfId="0" applyNumberFormat="1" applyFont="1" applyBorder="1" applyAlignment="1">
      <alignment horizontal="center" vertical="center"/>
    </xf>
    <xf numFmtId="165" fontId="2" fillId="0" borderId="8" xfId="0" applyNumberFormat="1" applyFont="1" applyBorder="1"/>
    <xf numFmtId="0" fontId="0" fillId="6" borderId="8" xfId="0" applyFill="1" applyBorder="1"/>
    <xf numFmtId="43" fontId="2" fillId="0" borderId="8" xfId="1" applyFont="1" applyBorder="1" applyAlignment="1">
      <alignment vertical="center"/>
    </xf>
    <xf numFmtId="9" fontId="0" fillId="12" borderId="6" xfId="2" applyFont="1" applyFill="1" applyBorder="1"/>
    <xf numFmtId="9" fontId="16" fillId="14" borderId="0" xfId="2" applyFont="1" applyFill="1" applyBorder="1" applyAlignment="1">
      <alignment horizontal="center"/>
    </xf>
    <xf numFmtId="166" fontId="3" fillId="9" borderId="0" xfId="0" applyNumberFormat="1" applyFont="1" applyFill="1"/>
    <xf numFmtId="166" fontId="0" fillId="9" borderId="0" xfId="0" applyNumberFormat="1" applyFill="1"/>
    <xf numFmtId="0" fontId="24" fillId="13" borderId="0" xfId="0" applyFont="1" applyFill="1" applyAlignment="1">
      <alignment horizontal="center" vertical="center"/>
    </xf>
    <xf numFmtId="0" fontId="16" fillId="11" borderId="0" xfId="0" applyFont="1" applyFill="1" applyAlignment="1">
      <alignment horizontal="center"/>
    </xf>
    <xf numFmtId="43" fontId="16" fillId="2" borderId="0" xfId="1" applyFont="1" applyFill="1" applyAlignment="1" applyProtection="1">
      <alignment vertical="center"/>
    </xf>
    <xf numFmtId="43" fontId="17" fillId="2" borderId="0" xfId="1" applyFont="1" applyFill="1" applyAlignment="1" applyProtection="1">
      <alignment vertical="center"/>
    </xf>
    <xf numFmtId="43" fontId="6" fillId="2" borderId="0" xfId="1" applyFont="1" applyFill="1" applyAlignment="1" applyProtection="1">
      <alignment horizontal="left" vertical="center"/>
    </xf>
    <xf numFmtId="43" fontId="16" fillId="2" borderId="0" xfId="1" applyFont="1" applyFill="1" applyProtection="1"/>
    <xf numFmtId="43" fontId="19" fillId="2" borderId="0" xfId="1" applyFont="1" applyFill="1" applyBorder="1" applyAlignment="1" applyProtection="1">
      <alignment horizontal="center" vertical="center"/>
    </xf>
    <xf numFmtId="43" fontId="24" fillId="13" borderId="0" xfId="1" applyFont="1" applyFill="1" applyBorder="1" applyAlignment="1">
      <alignment horizontal="center" vertical="center"/>
    </xf>
    <xf numFmtId="43" fontId="16" fillId="10" borderId="3" xfId="1" applyFont="1" applyFill="1" applyBorder="1"/>
    <xf numFmtId="43" fontId="0" fillId="4" borderId="0" xfId="1" applyFont="1" applyFill="1" applyBorder="1" applyAlignment="1">
      <alignment horizontal="center"/>
    </xf>
    <xf numFmtId="43" fontId="0" fillId="8" borderId="0" xfId="1" applyFont="1" applyFill="1" applyBorder="1" applyAlignment="1">
      <alignment horizontal="center"/>
    </xf>
    <xf numFmtId="43" fontId="3" fillId="9" borderId="0" xfId="1" applyFont="1" applyFill="1" applyBorder="1" applyAlignment="1">
      <alignment horizontal="center"/>
    </xf>
    <xf numFmtId="43" fontId="16" fillId="0" borderId="0" xfId="1" applyFont="1" applyFill="1" applyBorder="1" applyAlignment="1">
      <alignment horizontal="center" vertical="center"/>
    </xf>
    <xf numFmtId="43" fontId="0" fillId="9" borderId="0" xfId="1" applyFont="1" applyFill="1" applyBorder="1" applyAlignment="1">
      <alignment horizontal="center" vertical="center"/>
    </xf>
    <xf numFmtId="43" fontId="16" fillId="5" borderId="0" xfId="1" applyFont="1" applyFill="1" applyBorder="1" applyAlignment="1">
      <alignment horizontal="center"/>
    </xf>
    <xf numFmtId="43" fontId="16" fillId="7" borderId="0" xfId="1" applyFont="1" applyFill="1" applyBorder="1" applyAlignment="1">
      <alignment horizontal="center"/>
    </xf>
    <xf numFmtId="43" fontId="16" fillId="12" borderId="0" xfId="1" applyFont="1" applyFill="1" applyBorder="1" applyAlignment="1">
      <alignment horizontal="center"/>
    </xf>
    <xf numFmtId="43" fontId="0" fillId="12" borderId="6" xfId="1" applyFont="1" applyFill="1" applyBorder="1" applyAlignment="1">
      <alignment horizontal="center"/>
    </xf>
    <xf numFmtId="43" fontId="16" fillId="11" borderId="6" xfId="1" applyFont="1" applyFill="1" applyBorder="1" applyAlignment="1">
      <alignment horizontal="center"/>
    </xf>
    <xf numFmtId="43" fontId="16" fillId="14" borderId="0" xfId="1" applyFont="1" applyFill="1" applyBorder="1" applyAlignment="1">
      <alignment horizontal="center"/>
    </xf>
    <xf numFmtId="43" fontId="0" fillId="11" borderId="6" xfId="1" applyFont="1" applyFill="1" applyBorder="1" applyAlignment="1">
      <alignment horizontal="center"/>
    </xf>
    <xf numFmtId="43" fontId="16" fillId="6" borderId="0" xfId="1" applyFont="1" applyFill="1" applyBorder="1" applyAlignment="1">
      <alignment horizontal="center"/>
    </xf>
    <xf numFmtId="9" fontId="16" fillId="14" borderId="12" xfId="2" applyFont="1" applyFill="1" applyBorder="1" applyAlignment="1">
      <alignment horizontal="center" vertical="center"/>
    </xf>
    <xf numFmtId="9" fontId="16" fillId="14" borderId="12" xfId="2" applyFont="1" applyFill="1" applyBorder="1" applyAlignment="1">
      <alignment horizontal="center"/>
    </xf>
    <xf numFmtId="0" fontId="0" fillId="13" borderId="0" xfId="0" applyFill="1"/>
    <xf numFmtId="0" fontId="0" fillId="13" borderId="0" xfId="0" applyFill="1" applyAlignment="1">
      <alignment horizontal="right"/>
    </xf>
    <xf numFmtId="0" fontId="16" fillId="13" borderId="0" xfId="0" applyFont="1" applyFill="1" applyAlignment="1">
      <alignment horizontal="right"/>
    </xf>
    <xf numFmtId="43" fontId="16" fillId="13" borderId="0" xfId="1" applyFont="1" applyFill="1" applyAlignment="1">
      <alignment horizontal="right"/>
    </xf>
    <xf numFmtId="0" fontId="16" fillId="13" borderId="0" xfId="0" applyFont="1" applyFill="1"/>
    <xf numFmtId="43" fontId="16" fillId="13" borderId="0" xfId="1" applyFont="1" applyFill="1"/>
    <xf numFmtId="0" fontId="0" fillId="13" borderId="0" xfId="0" applyFill="1" applyAlignment="1">
      <alignment vertical="center"/>
    </xf>
    <xf numFmtId="0" fontId="7" fillId="13" borderId="0" xfId="0" applyFont="1" applyFill="1" applyAlignment="1">
      <alignment vertical="center"/>
    </xf>
    <xf numFmtId="0" fontId="7" fillId="13" borderId="0" xfId="0" applyFont="1" applyFill="1" applyAlignment="1">
      <alignment vertical="center" wrapText="1"/>
    </xf>
    <xf numFmtId="1" fontId="8" fillId="13" borderId="0" xfId="0" applyNumberFormat="1" applyFont="1" applyFill="1" applyAlignment="1">
      <alignment horizontal="center" vertical="center"/>
    </xf>
    <xf numFmtId="0" fontId="0" fillId="13" borderId="0" xfId="0" applyFill="1" applyAlignment="1">
      <alignment horizontal="center" vertical="center" wrapText="1"/>
    </xf>
    <xf numFmtId="43" fontId="2" fillId="0" borderId="8" xfId="0" applyNumberFormat="1" applyFont="1" applyBorder="1"/>
    <xf numFmtId="49" fontId="12" fillId="15" borderId="0" xfId="4" quotePrefix="1" applyNumberFormat="1" applyFont="1" applyFill="1" applyBorder="1" applyAlignment="1" applyProtection="1">
      <alignment horizontal="left" vertical="center" wrapText="1"/>
    </xf>
    <xf numFmtId="0" fontId="12" fillId="15" borderId="0" xfId="0" applyFont="1" applyFill="1" applyAlignment="1">
      <alignment horizontal="center" vertical="center" wrapText="1"/>
    </xf>
    <xf numFmtId="0" fontId="12" fillId="15" borderId="0" xfId="0" applyFont="1" applyFill="1" applyAlignment="1">
      <alignment horizontal="center" vertical="center"/>
    </xf>
    <xf numFmtId="0" fontId="24" fillId="15" borderId="0" xfId="0" applyFont="1" applyFill="1" applyAlignment="1">
      <alignment horizontal="center" vertical="center"/>
    </xf>
    <xf numFmtId="43" fontId="24" fillId="15" borderId="0" xfId="1" applyFont="1" applyFill="1" applyBorder="1" applyAlignment="1">
      <alignment horizontal="center" vertical="center"/>
    </xf>
    <xf numFmtId="0" fontId="25" fillId="13" borderId="0" xfId="0" applyFont="1" applyFill="1" applyAlignment="1">
      <alignment horizontal="center" vertical="center"/>
    </xf>
    <xf numFmtId="43" fontId="25" fillId="13" borderId="0" xfId="1" applyFont="1" applyFill="1" applyBorder="1" applyAlignment="1">
      <alignment horizontal="center" vertical="center"/>
    </xf>
    <xf numFmtId="9" fontId="16" fillId="14" borderId="0" xfId="2" applyFont="1" applyFill="1" applyBorder="1" applyAlignment="1">
      <alignment horizontal="right"/>
    </xf>
    <xf numFmtId="164" fontId="16" fillId="14" borderId="0" xfId="0" applyNumberFormat="1" applyFont="1" applyFill="1" applyAlignment="1">
      <alignment horizontal="right"/>
    </xf>
    <xf numFmtId="166" fontId="16" fillId="14" borderId="0" xfId="0" applyNumberFormat="1" applyFont="1" applyFill="1" applyAlignment="1">
      <alignment horizontal="right" vertical="center"/>
    </xf>
    <xf numFmtId="9" fontId="16" fillId="14" borderId="0" xfId="2" applyFont="1" applyFill="1" applyBorder="1" applyAlignment="1">
      <alignment horizontal="right" vertical="center"/>
    </xf>
    <xf numFmtId="0" fontId="16" fillId="14" borderId="0" xfId="0" applyFont="1" applyFill="1" applyAlignment="1">
      <alignment horizontal="right"/>
    </xf>
    <xf numFmtId="0" fontId="16" fillId="11" borderId="6" xfId="0" applyFont="1" applyFill="1" applyBorder="1" applyAlignment="1">
      <alignment horizontal="right"/>
    </xf>
    <xf numFmtId="0" fontId="16" fillId="12" borderId="0" xfId="0" applyFont="1" applyFill="1" applyAlignment="1">
      <alignment horizontal="right"/>
    </xf>
    <xf numFmtId="43" fontId="16" fillId="14" borderId="0" xfId="1" applyFont="1" applyFill="1" applyBorder="1" applyAlignment="1">
      <alignment horizontal="right" vertical="center"/>
    </xf>
    <xf numFmtId="165" fontId="16" fillId="14" borderId="0" xfId="1" applyNumberFormat="1" applyFont="1" applyFill="1" applyBorder="1" applyAlignment="1">
      <alignment horizontal="right" vertical="center"/>
    </xf>
    <xf numFmtId="0" fontId="0" fillId="12" borderId="6" xfId="0" applyFill="1" applyBorder="1" applyAlignment="1">
      <alignment horizontal="right"/>
    </xf>
    <xf numFmtId="0" fontId="0" fillId="4" borderId="0" xfId="0" applyFill="1" applyAlignment="1">
      <alignment horizontal="right"/>
    </xf>
    <xf numFmtId="0" fontId="0" fillId="8" borderId="0" xfId="0" applyFill="1" applyAlignment="1">
      <alignment horizontal="right"/>
    </xf>
    <xf numFmtId="0" fontId="3" fillId="9" borderId="0" xfId="0" applyFont="1" applyFill="1" applyAlignment="1">
      <alignment horizontal="right"/>
    </xf>
    <xf numFmtId="9" fontId="16" fillId="0" borderId="0" xfId="2" applyFont="1" applyFill="1" applyBorder="1" applyAlignment="1">
      <alignment horizontal="right" vertical="center"/>
    </xf>
    <xf numFmtId="2" fontId="0" fillId="9" borderId="0" xfId="0" applyNumberFormat="1" applyFill="1" applyAlignment="1">
      <alignment horizontal="right" vertical="center"/>
    </xf>
    <xf numFmtId="43" fontId="2" fillId="0" borderId="8" xfId="0" applyNumberFormat="1" applyFont="1" applyBorder="1" applyAlignment="1">
      <alignment horizontal="center" vertical="center"/>
    </xf>
    <xf numFmtId="2" fontId="2" fillId="0" borderId="8" xfId="0" applyNumberFormat="1" applyFont="1" applyBorder="1" applyAlignment="1">
      <alignment horizontal="center" vertical="center"/>
    </xf>
    <xf numFmtId="166" fontId="16" fillId="14" borderId="12" xfId="2" applyNumberFormat="1" applyFont="1" applyFill="1" applyBorder="1" applyAlignment="1">
      <alignment horizontal="center" vertical="center"/>
    </xf>
    <xf numFmtId="166" fontId="16" fillId="14" borderId="0" xfId="1" applyNumberFormat="1" applyFont="1" applyFill="1" applyBorder="1" applyAlignment="1">
      <alignment horizontal="center" vertical="center"/>
    </xf>
    <xf numFmtId="166" fontId="16" fillId="14" borderId="0" xfId="2" applyNumberFormat="1" applyFont="1" applyFill="1" applyBorder="1" applyAlignment="1">
      <alignment horizontal="center" vertical="center"/>
    </xf>
    <xf numFmtId="166" fontId="16" fillId="14" borderId="0" xfId="2" applyNumberFormat="1" applyFont="1" applyFill="1" applyBorder="1" applyAlignment="1">
      <alignment horizontal="right" vertical="center"/>
    </xf>
    <xf numFmtId="43" fontId="0" fillId="0" borderId="0" xfId="1" applyFont="1" applyBorder="1" applyAlignment="1">
      <alignment horizontal="right" vertical="center"/>
    </xf>
    <xf numFmtId="43" fontId="0" fillId="0" borderId="0" xfId="1" applyFont="1" applyBorder="1" applyAlignment="1">
      <alignment horizontal="center"/>
    </xf>
    <xf numFmtId="43" fontId="0" fillId="0" borderId="0" xfId="1" applyFont="1" applyFill="1" applyBorder="1" applyAlignment="1">
      <alignment horizontal="center"/>
    </xf>
    <xf numFmtId="43" fontId="0" fillId="11" borderId="6" xfId="1" applyFont="1" applyFill="1" applyBorder="1" applyAlignment="1">
      <alignment horizontal="right"/>
    </xf>
    <xf numFmtId="43" fontId="0" fillId="0" borderId="0" xfId="1" applyFont="1" applyBorder="1"/>
    <xf numFmtId="43" fontId="0" fillId="0" borderId="0" xfId="1" applyFont="1" applyBorder="1" applyAlignment="1">
      <alignment horizontal="right"/>
    </xf>
    <xf numFmtId="43" fontId="0" fillId="0" borderId="0" xfId="1" applyFont="1" applyFill="1" applyBorder="1" applyAlignment="1">
      <alignment horizontal="right" vertical="center"/>
    </xf>
    <xf numFmtId="0" fontId="24" fillId="13" borderId="0" xfId="0" applyFont="1" applyFill="1" applyAlignment="1">
      <alignment horizontal="center" vertical="center" wrapText="1"/>
    </xf>
    <xf numFmtId="0" fontId="25" fillId="13" borderId="0" xfId="0" applyFont="1" applyFill="1" applyAlignment="1">
      <alignment horizontal="center" vertical="center" wrapText="1"/>
    </xf>
    <xf numFmtId="0" fontId="27" fillId="13" borderId="0" xfId="0" applyFont="1" applyFill="1" applyAlignment="1">
      <alignment horizontal="center" vertical="center" wrapText="1"/>
    </xf>
    <xf numFmtId="0" fontId="12" fillId="16" borderId="5" xfId="0" applyFont="1" applyFill="1" applyBorder="1" applyAlignment="1">
      <alignment horizontal="center" vertical="center" wrapText="1"/>
    </xf>
    <xf numFmtId="0" fontId="7" fillId="16" borderId="7" xfId="0" applyFont="1" applyFill="1" applyBorder="1" applyAlignment="1">
      <alignment horizontal="center" vertical="center" wrapText="1"/>
    </xf>
    <xf numFmtId="49" fontId="26" fillId="16" borderId="4" xfId="4" quotePrefix="1" applyNumberFormat="1" applyFont="1" applyFill="1" applyBorder="1" applyAlignment="1" applyProtection="1">
      <alignment horizontal="center" vertical="top" wrapText="1"/>
    </xf>
    <xf numFmtId="0" fontId="12" fillId="16" borderId="10" xfId="0" applyFont="1" applyFill="1" applyBorder="1" applyAlignment="1">
      <alignment horizontal="center" vertical="center" wrapText="1"/>
    </xf>
    <xf numFmtId="0" fontId="12" fillId="16" borderId="3" xfId="0" applyFont="1" applyFill="1" applyBorder="1" applyAlignment="1">
      <alignment horizontal="center" vertical="center" wrapText="1"/>
    </xf>
    <xf numFmtId="0" fontId="12" fillId="16" borderId="9" xfId="0" applyFont="1" applyFill="1" applyBorder="1" applyAlignment="1">
      <alignment horizontal="center" vertical="center" wrapText="1"/>
    </xf>
    <xf numFmtId="1" fontId="10" fillId="13" borderId="0" xfId="3" applyNumberFormat="1" applyFont="1" applyFill="1" applyBorder="1" applyAlignment="1" applyProtection="1">
      <alignment horizontal="center" vertical="center"/>
    </xf>
    <xf numFmtId="1" fontId="10" fillId="2" borderId="4" xfId="3" applyNumberFormat="1" applyFont="1" applyFill="1" applyBorder="1" applyAlignment="1" applyProtection="1">
      <alignment horizontal="center" vertical="center"/>
    </xf>
    <xf numFmtId="1" fontId="10" fillId="2" borderId="0" xfId="3" applyNumberFormat="1" applyFont="1" applyFill="1" applyBorder="1" applyAlignment="1" applyProtection="1">
      <alignment horizontal="center" vertical="center"/>
    </xf>
    <xf numFmtId="0" fontId="12" fillId="16" borderId="13" xfId="0" applyFont="1" applyFill="1" applyBorder="1" applyAlignment="1">
      <alignment horizontal="center" vertical="center" wrapText="1"/>
    </xf>
    <xf numFmtId="0" fontId="12" fillId="16" borderId="0" xfId="0" applyFont="1" applyFill="1" applyAlignment="1">
      <alignment horizontal="center" vertical="center" wrapText="1"/>
    </xf>
    <xf numFmtId="0" fontId="12" fillId="16" borderId="14" xfId="0" applyFont="1" applyFill="1" applyBorder="1" applyAlignment="1">
      <alignment horizontal="center" vertical="center" wrapText="1"/>
    </xf>
    <xf numFmtId="49" fontId="5" fillId="3" borderId="2" xfId="0" applyNumberFormat="1" applyFont="1" applyFill="1" applyBorder="1" applyAlignment="1">
      <alignment horizontal="center" vertical="center"/>
    </xf>
    <xf numFmtId="49" fontId="5" fillId="3" borderId="1" xfId="0" applyNumberFormat="1" applyFont="1" applyFill="1" applyBorder="1" applyAlignment="1">
      <alignment horizontal="center" vertical="center"/>
    </xf>
    <xf numFmtId="49" fontId="11" fillId="16" borderId="0" xfId="3" quotePrefix="1" applyNumberFormat="1" applyFont="1" applyFill="1" applyBorder="1" applyAlignment="1" applyProtection="1">
      <alignment horizontal="center" vertical="center" wrapText="1"/>
    </xf>
    <xf numFmtId="165" fontId="2" fillId="0" borderId="0" xfId="0" applyNumberFormat="1" applyFont="1" applyBorder="1"/>
    <xf numFmtId="0" fontId="2" fillId="6" borderId="6" xfId="0" applyFont="1" applyFill="1" applyBorder="1"/>
    <xf numFmtId="43" fontId="14" fillId="0" borderId="0" xfId="1" applyNumberFormat="1" applyFont="1" applyFill="1" applyBorder="1" applyAlignment="1">
      <alignment horizontal="center" vertical="center"/>
    </xf>
    <xf numFmtId="43" fontId="0" fillId="0" borderId="0" xfId="0" applyNumberFormat="1"/>
    <xf numFmtId="43" fontId="0" fillId="0" borderId="0" xfId="1" applyNumberFormat="1" applyFont="1" applyBorder="1" applyAlignment="1">
      <alignment horizontal="center" vertical="center"/>
    </xf>
  </cellXfs>
  <cellStyles count="5">
    <cellStyle name="Data Cell - PerformancePoint" xfId="3" xr:uid="{00000000-0005-0000-0000-000001000000}"/>
    <cellStyle name="Hiperlink" xfId="4" builtinId="8"/>
    <cellStyle name="Normal" xfId="0" builtinId="0"/>
    <cellStyle name="Porcentagem" xfId="2" builtinId="5"/>
    <cellStyle name="Vírgula" xfId="1" builtinId="3"/>
  </cellStyles>
  <dxfs count="30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eetMetadata" Target="metadata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E76"/>
  <sheetViews>
    <sheetView tabSelected="1" topLeftCell="A49" zoomScaleNormal="100" workbookViewId="0">
      <selection activeCell="B45" sqref="B45"/>
    </sheetView>
  </sheetViews>
  <sheetFormatPr defaultColWidth="9.28515625" defaultRowHeight="15" outlineLevelCol="1" x14ac:dyDescent="0.25"/>
  <cols>
    <col min="1" max="1" width="65.140625" style="130" customWidth="1"/>
    <col min="2" max="2" width="13.5703125" style="130" customWidth="1"/>
    <col min="3" max="3" width="14.28515625" style="130" bestFit="1" customWidth="1"/>
    <col min="4" max="4" width="11.7109375" style="134" customWidth="1" outlineLevel="1"/>
    <col min="5" max="5" width="12.28515625" style="135" customWidth="1" outlineLevel="1"/>
    <col min="6" max="6" width="13" style="130" customWidth="1"/>
    <col min="7" max="8" width="13" style="134" customWidth="1" outlineLevel="1"/>
    <col min="9" max="9" width="13.28515625" style="130" bestFit="1" customWidth="1"/>
    <col min="10" max="11" width="12.7109375" style="134" customWidth="1" outlineLevel="1"/>
    <col min="12" max="12" width="13.28515625" style="130" bestFit="1" customWidth="1"/>
    <col min="13" max="14" width="12.7109375" style="134" customWidth="1" outlineLevel="1"/>
    <col min="15" max="15" width="13.28515625" style="130" bestFit="1" customWidth="1"/>
    <col min="16" max="17" width="12.7109375" style="134" customWidth="1" outlineLevel="1"/>
    <col min="18" max="18" width="12.7109375" style="130" customWidth="1"/>
    <col min="19" max="20" width="12.7109375" style="134" customWidth="1" outlineLevel="1"/>
    <col min="21" max="21" width="13.28515625" style="130" customWidth="1"/>
    <col min="22" max="23" width="13.28515625" style="134" customWidth="1" outlineLevel="1"/>
    <col min="24" max="24" width="15.7109375" style="130" customWidth="1"/>
    <col min="25" max="26" width="15.7109375" style="134" customWidth="1" outlineLevel="1"/>
    <col min="27" max="27" width="15.7109375" style="130" customWidth="1"/>
    <col min="28" max="29" width="15.7109375" style="134" customWidth="1" outlineLevel="1"/>
    <col min="30" max="30" width="15.7109375" style="130" customWidth="1"/>
    <col min="31" max="32" width="15.7109375" style="134" customWidth="1" outlineLevel="1"/>
    <col min="33" max="33" width="15.7109375" style="130" customWidth="1"/>
    <col min="34" max="35" width="15.7109375" style="134" customWidth="1" outlineLevel="1"/>
    <col min="36" max="36" width="17.7109375" style="130" customWidth="1"/>
    <col min="37" max="37" width="9.28515625" style="130" customWidth="1"/>
    <col min="38" max="38" width="12.7109375" style="130" customWidth="1"/>
    <col min="39" max="16384" width="9.28515625" style="130"/>
  </cols>
  <sheetData>
    <row r="1" spans="1:57" s="136" customFormat="1" ht="45" customHeight="1" x14ac:dyDescent="0.25">
      <c r="A1" s="14"/>
      <c r="B1" s="1"/>
      <c r="C1" s="1"/>
      <c r="D1" s="50"/>
      <c r="E1" s="108"/>
      <c r="F1" s="1"/>
      <c r="G1" s="50"/>
      <c r="H1" s="50"/>
      <c r="I1" s="1"/>
      <c r="J1" s="50"/>
      <c r="K1" s="50"/>
      <c r="L1" s="1"/>
      <c r="M1" s="50"/>
      <c r="N1" s="50"/>
      <c r="O1" s="1"/>
      <c r="P1" s="50"/>
      <c r="Q1" s="50"/>
      <c r="R1" s="1"/>
      <c r="S1" s="50"/>
      <c r="T1" s="50"/>
      <c r="U1" s="1"/>
      <c r="V1" s="50"/>
      <c r="W1" s="50"/>
      <c r="X1" s="1"/>
      <c r="Y1" s="50"/>
      <c r="Z1" s="50"/>
      <c r="AA1" s="1"/>
      <c r="AB1" s="50"/>
      <c r="AC1" s="50"/>
      <c r="AD1" s="1"/>
      <c r="AE1" s="50"/>
      <c r="AF1" s="50"/>
      <c r="AG1" s="1"/>
      <c r="AH1" s="50"/>
      <c r="AI1" s="50"/>
      <c r="AJ1" s="1"/>
    </row>
    <row r="2" spans="1:57" s="137" customFormat="1" ht="22.5" customHeight="1" x14ac:dyDescent="0.25">
      <c r="A2" s="10"/>
      <c r="B2" s="1"/>
      <c r="C2" s="42"/>
      <c r="D2" s="51"/>
      <c r="E2" s="109"/>
      <c r="F2" s="5"/>
      <c r="G2" s="64"/>
      <c r="H2" s="64"/>
      <c r="I2" s="3"/>
      <c r="J2" s="68"/>
      <c r="K2" s="68"/>
      <c r="L2" s="3"/>
      <c r="M2" s="68"/>
      <c r="N2" s="68"/>
      <c r="O2" s="5"/>
      <c r="P2" s="64"/>
      <c r="Q2" s="64"/>
      <c r="R2" s="3"/>
      <c r="S2" s="68"/>
      <c r="T2" s="68"/>
      <c r="U2" s="3"/>
      <c r="V2" s="68"/>
      <c r="W2" s="68"/>
      <c r="X2" s="5"/>
      <c r="Y2" s="64"/>
      <c r="Z2" s="64"/>
      <c r="AA2" s="3"/>
      <c r="AB2" s="68"/>
      <c r="AC2" s="68"/>
      <c r="AD2" s="3"/>
      <c r="AE2" s="68"/>
      <c r="AF2" s="68"/>
      <c r="AG2" s="5"/>
      <c r="AH2" s="64"/>
      <c r="AI2" s="64"/>
      <c r="AJ2" s="3"/>
    </row>
    <row r="3" spans="1:57" s="137" customFormat="1" ht="22.5" customHeight="1" x14ac:dyDescent="0.25">
      <c r="A3" s="192" t="s">
        <v>23</v>
      </c>
      <c r="B3" s="1"/>
      <c r="C3" s="41"/>
      <c r="D3" s="3"/>
      <c r="E3" s="110"/>
      <c r="F3" s="3"/>
      <c r="G3" s="65"/>
      <c r="H3" s="65"/>
      <c r="I3" s="3"/>
      <c r="J3" s="68"/>
      <c r="K3" s="68"/>
      <c r="L3" s="3"/>
      <c r="M3" s="68"/>
      <c r="N3" s="68"/>
      <c r="O3" s="5"/>
      <c r="P3" s="64"/>
      <c r="Q3" s="64"/>
      <c r="R3" s="3"/>
      <c r="S3" s="68"/>
      <c r="T3" s="68"/>
      <c r="U3" s="3"/>
      <c r="V3" s="68"/>
      <c r="W3" s="68"/>
      <c r="X3" s="5"/>
      <c r="Y3" s="64"/>
      <c r="Z3" s="64"/>
      <c r="AA3" s="3"/>
      <c r="AB3" s="68"/>
      <c r="AC3" s="68"/>
      <c r="AD3" s="3"/>
      <c r="AE3" s="68"/>
      <c r="AF3" s="68"/>
      <c r="AG3" s="5"/>
      <c r="AH3" s="64"/>
      <c r="AI3" s="64"/>
      <c r="AJ3" s="3"/>
    </row>
    <row r="4" spans="1:57" s="138" customFormat="1" ht="23.25" customHeight="1" x14ac:dyDescent="0.25">
      <c r="A4" s="193"/>
      <c r="B4" s="1"/>
      <c r="C4" s="41"/>
      <c r="D4" s="4"/>
      <c r="E4" s="110"/>
      <c r="F4" s="4"/>
      <c r="G4" s="65"/>
      <c r="H4" s="65"/>
      <c r="I4" s="4"/>
      <c r="J4" s="69"/>
      <c r="K4" s="69"/>
      <c r="L4" s="4"/>
      <c r="M4" s="69"/>
      <c r="N4" s="69"/>
      <c r="O4" s="6"/>
      <c r="P4" s="72"/>
      <c r="Q4" s="72"/>
      <c r="R4" s="7"/>
      <c r="S4" s="73"/>
      <c r="T4" s="73"/>
      <c r="U4" s="4"/>
      <c r="V4" s="69"/>
      <c r="W4" s="69"/>
      <c r="X4" s="6"/>
      <c r="Y4" s="72"/>
      <c r="Z4" s="72"/>
      <c r="AA4" s="4"/>
      <c r="AB4" s="69"/>
      <c r="AC4" s="69"/>
      <c r="AD4" s="4"/>
      <c r="AE4" s="69"/>
      <c r="AF4" s="69"/>
      <c r="AG4" s="6"/>
      <c r="AH4" s="72"/>
      <c r="AI4" s="72"/>
      <c r="AJ4" s="4"/>
    </row>
    <row r="5" spans="1:57" ht="15" customHeight="1" x14ac:dyDescent="0.25">
      <c r="A5" s="8"/>
      <c r="B5" s="1"/>
      <c r="C5" s="2"/>
      <c r="D5" s="52"/>
      <c r="E5" s="111"/>
      <c r="F5" s="9"/>
      <c r="G5" s="66"/>
      <c r="H5" s="66"/>
      <c r="I5" s="2"/>
      <c r="J5" s="52"/>
      <c r="K5" s="52"/>
      <c r="L5" s="2"/>
      <c r="M5" s="52"/>
      <c r="N5" s="52"/>
      <c r="O5" s="9"/>
      <c r="P5" s="66"/>
      <c r="Q5" s="66"/>
      <c r="R5" s="2"/>
      <c r="S5" s="52"/>
      <c r="T5" s="52"/>
      <c r="U5" s="2"/>
      <c r="V5" s="52"/>
      <c r="W5" s="52"/>
      <c r="X5" s="9"/>
      <c r="Y5" s="66"/>
      <c r="Z5" s="66"/>
      <c r="AA5" s="2"/>
      <c r="AB5" s="52"/>
      <c r="AC5" s="52"/>
      <c r="AD5" s="2"/>
      <c r="AE5" s="52"/>
      <c r="AF5" s="52"/>
      <c r="AG5" s="9"/>
      <c r="AH5" s="66"/>
      <c r="AI5" s="66"/>
      <c r="AJ5" s="2"/>
    </row>
    <row r="6" spans="1:57" s="136" customFormat="1" ht="30.75" customHeight="1" x14ac:dyDescent="0.25">
      <c r="A6" s="194" t="s">
        <v>34</v>
      </c>
      <c r="B6" s="1"/>
      <c r="C6" s="11"/>
      <c r="D6" s="53"/>
      <c r="E6" s="112"/>
      <c r="F6" s="12"/>
      <c r="G6" s="67"/>
      <c r="H6" s="67"/>
      <c r="I6" s="13"/>
      <c r="J6" s="70"/>
      <c r="K6" s="70"/>
      <c r="L6" s="13"/>
      <c r="M6" s="70"/>
      <c r="N6" s="70"/>
      <c r="O6" s="13"/>
      <c r="P6" s="70"/>
      <c r="Q6" s="70"/>
      <c r="R6" s="13"/>
      <c r="S6" s="70"/>
      <c r="T6" s="70"/>
      <c r="U6" s="13"/>
      <c r="V6" s="70"/>
      <c r="W6" s="70"/>
      <c r="X6" s="12"/>
      <c r="Y6" s="67"/>
      <c r="Z6" s="67"/>
      <c r="AA6" s="13"/>
      <c r="AB6" s="70"/>
      <c r="AC6" s="70"/>
      <c r="AD6" s="13"/>
      <c r="AE6" s="70"/>
      <c r="AF6" s="70"/>
      <c r="AG6" s="12"/>
      <c r="AH6" s="67"/>
      <c r="AI6" s="67"/>
      <c r="AJ6" s="13"/>
      <c r="AK6" s="139"/>
      <c r="AL6" s="139"/>
      <c r="AM6" s="139"/>
      <c r="AN6" s="139"/>
      <c r="AO6" s="139"/>
      <c r="AP6" s="139"/>
      <c r="AQ6" s="139"/>
      <c r="AR6" s="139"/>
      <c r="AS6" s="139"/>
      <c r="AT6" s="139"/>
      <c r="AU6" s="139"/>
      <c r="AV6" s="139"/>
      <c r="AW6" s="139"/>
      <c r="AX6" s="139"/>
    </row>
    <row r="7" spans="1:57" s="136" customFormat="1" ht="21" customHeight="1" thickBot="1" x14ac:dyDescent="0.3">
      <c r="A7" s="194"/>
      <c r="B7" s="15"/>
      <c r="C7" s="187"/>
      <c r="D7" s="187"/>
      <c r="E7" s="187"/>
      <c r="F7" s="187"/>
      <c r="G7" s="187"/>
      <c r="H7" s="187"/>
      <c r="I7" s="187"/>
      <c r="J7" s="71"/>
      <c r="K7" s="71"/>
      <c r="L7" s="187"/>
      <c r="M7" s="187"/>
      <c r="N7" s="187"/>
      <c r="O7" s="187"/>
      <c r="P7" s="187"/>
      <c r="Q7" s="187"/>
      <c r="R7" s="187"/>
      <c r="S7" s="71"/>
      <c r="T7" s="71"/>
      <c r="U7" s="187"/>
      <c r="V7" s="187"/>
      <c r="W7" s="187"/>
      <c r="X7" s="187"/>
      <c r="Y7" s="187"/>
      <c r="Z7" s="187"/>
      <c r="AA7" s="187"/>
      <c r="AB7" s="71"/>
      <c r="AC7" s="71"/>
      <c r="AD7" s="187"/>
      <c r="AE7" s="187"/>
      <c r="AF7" s="187"/>
      <c r="AG7" s="187"/>
      <c r="AH7" s="187"/>
      <c r="AI7" s="188"/>
      <c r="AJ7" s="188"/>
      <c r="AK7" s="186"/>
      <c r="AL7" s="186"/>
      <c r="AM7" s="186"/>
      <c r="AN7" s="186"/>
      <c r="AO7" s="186"/>
      <c r="AP7" s="186"/>
      <c r="AQ7" s="186"/>
      <c r="AR7" s="186"/>
      <c r="AS7" s="186"/>
      <c r="AT7" s="186"/>
      <c r="AU7" s="186"/>
      <c r="AV7" s="186"/>
      <c r="AW7" s="186"/>
      <c r="AX7" s="186"/>
      <c r="AY7" s="186"/>
      <c r="AZ7" s="186"/>
      <c r="BA7" s="186"/>
      <c r="BB7" s="186"/>
      <c r="BC7" s="186"/>
      <c r="BD7" s="186"/>
      <c r="BE7" s="186"/>
    </row>
    <row r="8" spans="1:57" s="140" customFormat="1" ht="30" customHeight="1" x14ac:dyDescent="0.25">
      <c r="A8" s="182"/>
      <c r="B8" s="180" t="s">
        <v>1</v>
      </c>
      <c r="C8" s="183" t="s">
        <v>2</v>
      </c>
      <c r="D8" s="184"/>
      <c r="E8" s="185"/>
      <c r="F8" s="183" t="s">
        <v>3</v>
      </c>
      <c r="G8" s="184"/>
      <c r="H8" s="185"/>
      <c r="I8" s="183" t="s">
        <v>4</v>
      </c>
      <c r="J8" s="184"/>
      <c r="K8" s="185"/>
      <c r="L8" s="183" t="s">
        <v>5</v>
      </c>
      <c r="M8" s="184"/>
      <c r="N8" s="185"/>
      <c r="O8" s="183" t="s">
        <v>6</v>
      </c>
      <c r="P8" s="184"/>
      <c r="Q8" s="185"/>
      <c r="R8" s="183" t="s">
        <v>7</v>
      </c>
      <c r="S8" s="184"/>
      <c r="T8" s="185"/>
      <c r="U8" s="183" t="s">
        <v>8</v>
      </c>
      <c r="V8" s="184"/>
      <c r="W8" s="185"/>
      <c r="X8" s="183" t="s">
        <v>9</v>
      </c>
      <c r="Y8" s="184"/>
      <c r="Z8" s="185"/>
      <c r="AA8" s="183" t="s">
        <v>10</v>
      </c>
      <c r="AB8" s="184"/>
      <c r="AC8" s="185"/>
      <c r="AD8" s="183" t="s">
        <v>11</v>
      </c>
      <c r="AE8" s="184"/>
      <c r="AF8" s="185"/>
      <c r="AG8" s="189" t="s">
        <v>12</v>
      </c>
      <c r="AH8" s="190"/>
      <c r="AI8" s="191"/>
      <c r="AJ8" s="181" t="s">
        <v>0</v>
      </c>
    </row>
    <row r="9" spans="1:57" s="140" customFormat="1" ht="16.5" customHeight="1" x14ac:dyDescent="0.25">
      <c r="A9" s="49" t="s">
        <v>19</v>
      </c>
      <c r="B9" s="179" t="s">
        <v>25</v>
      </c>
      <c r="C9" s="106" t="s">
        <v>24</v>
      </c>
      <c r="D9" s="106"/>
      <c r="E9" s="113"/>
      <c r="F9" s="177"/>
      <c r="G9" s="106"/>
      <c r="H9" s="113"/>
      <c r="I9" s="177"/>
      <c r="J9" s="106"/>
      <c r="K9" s="113"/>
      <c r="L9" s="177"/>
      <c r="M9" s="106"/>
      <c r="N9" s="113"/>
      <c r="O9" s="106"/>
      <c r="P9" s="106"/>
      <c r="Q9" s="113"/>
      <c r="R9" s="106"/>
      <c r="S9" s="106"/>
      <c r="T9" s="113"/>
      <c r="U9" s="177"/>
      <c r="V9" s="106"/>
      <c r="W9" s="113"/>
      <c r="X9" s="178"/>
      <c r="Y9" s="147"/>
      <c r="Z9" s="148"/>
      <c r="AA9" s="178"/>
      <c r="AB9" s="106"/>
      <c r="AC9" s="113"/>
      <c r="AD9" s="177"/>
      <c r="AE9" s="106"/>
      <c r="AF9" s="113"/>
      <c r="AG9" s="177"/>
      <c r="AH9" s="106" t="s">
        <v>20</v>
      </c>
      <c r="AI9" s="113" t="s">
        <v>21</v>
      </c>
      <c r="AJ9" s="84"/>
    </row>
    <row r="10" spans="1:57" s="140" customFormat="1" ht="16.5" customHeight="1" x14ac:dyDescent="0.25">
      <c r="A10" s="142" t="s">
        <v>22</v>
      </c>
      <c r="B10" s="143">
        <v>14</v>
      </c>
      <c r="C10" s="144">
        <v>17</v>
      </c>
      <c r="D10" s="145"/>
      <c r="E10" s="146"/>
      <c r="F10" s="143"/>
      <c r="G10" s="145"/>
      <c r="H10" s="146"/>
      <c r="I10" s="143"/>
      <c r="J10" s="145"/>
      <c r="K10" s="146"/>
      <c r="L10" s="143"/>
      <c r="M10" s="145"/>
      <c r="N10" s="146"/>
      <c r="O10" s="144"/>
      <c r="P10" s="145"/>
      <c r="Q10" s="146"/>
      <c r="R10" s="144"/>
      <c r="S10" s="145"/>
      <c r="T10" s="146"/>
      <c r="U10" s="143"/>
      <c r="V10" s="145"/>
      <c r="W10" s="146"/>
      <c r="X10" s="143"/>
      <c r="Y10" s="145"/>
      <c r="Z10" s="146"/>
      <c r="AA10" s="143"/>
      <c r="AB10" s="145"/>
      <c r="AC10" s="146"/>
      <c r="AD10" s="143"/>
      <c r="AE10" s="145"/>
      <c r="AF10" s="146"/>
      <c r="AG10" s="143"/>
      <c r="AH10" s="106"/>
      <c r="AI10" s="113"/>
      <c r="AJ10" s="84">
        <f>SUM(B10:AG10)</f>
        <v>31</v>
      </c>
    </row>
    <row r="11" spans="1:57" x14ac:dyDescent="0.25">
      <c r="A11" s="16" t="s">
        <v>28</v>
      </c>
      <c r="B11" s="17"/>
      <c r="C11" s="17"/>
      <c r="D11" s="54"/>
      <c r="E11" s="114"/>
      <c r="F11" s="17"/>
      <c r="G11" s="54"/>
      <c r="H11" s="54"/>
      <c r="I11" s="17"/>
      <c r="J11" s="54"/>
      <c r="K11" s="54"/>
      <c r="L11" s="17"/>
      <c r="M11" s="54"/>
      <c r="N11" s="54"/>
      <c r="O11" s="17"/>
      <c r="P11" s="54"/>
      <c r="Q11" s="54"/>
      <c r="R11" s="17"/>
      <c r="S11" s="54"/>
      <c r="T11" s="54"/>
      <c r="U11" s="17"/>
      <c r="V11" s="54"/>
      <c r="W11" s="54"/>
      <c r="X11" s="17"/>
      <c r="Y11" s="54"/>
      <c r="Z11" s="54"/>
      <c r="AA11" s="17"/>
      <c r="AB11" s="54"/>
      <c r="AC11" s="54"/>
      <c r="AD11" s="17"/>
      <c r="AE11" s="54"/>
      <c r="AF11" s="54"/>
      <c r="AG11" s="17"/>
      <c r="AH11" s="54"/>
      <c r="AI11" s="54"/>
      <c r="AJ11" s="85"/>
    </row>
    <row r="12" spans="1:57" x14ac:dyDescent="0.25">
      <c r="A12" s="18" t="s">
        <v>26</v>
      </c>
      <c r="B12" s="36">
        <f>30*200*24</f>
        <v>144000</v>
      </c>
      <c r="C12" s="36">
        <f>28*200*24</f>
        <v>134400</v>
      </c>
      <c r="D12" s="128">
        <f>(C12/B12)-1</f>
        <v>-6.6666666666666652E-2</v>
      </c>
      <c r="E12" s="76">
        <f>C12-B12</f>
        <v>-9600</v>
      </c>
      <c r="F12" s="36">
        <f>27*200*24</f>
        <v>129600</v>
      </c>
      <c r="G12" s="128">
        <f>(F12/C12)-1</f>
        <v>-3.5714285714285698E-2</v>
      </c>
      <c r="H12" s="76">
        <f>F12-C12</f>
        <v>-4800</v>
      </c>
      <c r="I12" s="36">
        <f>30*200*24</f>
        <v>144000</v>
      </c>
      <c r="J12" s="74">
        <f>(I12/F12)-1</f>
        <v>0.11111111111111116</v>
      </c>
      <c r="K12" s="74"/>
      <c r="L12" s="36">
        <f>31*200*24</f>
        <v>148800</v>
      </c>
      <c r="M12" s="74">
        <f>(L12/I12)-1</f>
        <v>3.3333333333333437E-2</v>
      </c>
      <c r="N12" s="74"/>
      <c r="O12" s="36">
        <f>30*200*24</f>
        <v>144000</v>
      </c>
      <c r="P12" s="74">
        <f>(O12/L12)-1</f>
        <v>-3.2258064516129004E-2</v>
      </c>
      <c r="Q12" s="74"/>
      <c r="R12" s="36">
        <f>31*200*24</f>
        <v>148800</v>
      </c>
      <c r="S12" s="74">
        <f>(R12/O12)-1</f>
        <v>3.3333333333333437E-2</v>
      </c>
      <c r="T12" s="74"/>
      <c r="U12" s="36">
        <f>31*200*24</f>
        <v>148800</v>
      </c>
      <c r="V12" s="74">
        <f>(U12/R12)-1</f>
        <v>0</v>
      </c>
      <c r="W12" s="74"/>
      <c r="X12" s="36">
        <f>20*200*24</f>
        <v>96000</v>
      </c>
      <c r="Y12" s="74">
        <f>(X12/U12)-1</f>
        <v>-0.35483870967741937</v>
      </c>
      <c r="Z12" s="74"/>
      <c r="AA12" s="36">
        <f>31*200*24</f>
        <v>148800</v>
      </c>
      <c r="AB12" s="74">
        <f>(AA12/X12)-1</f>
        <v>0.55000000000000004</v>
      </c>
      <c r="AC12" s="74"/>
      <c r="AD12" s="36">
        <f>30*200*24</f>
        <v>144000</v>
      </c>
      <c r="AE12" s="74">
        <f>(AD12/AA12)-1</f>
        <v>-3.2258064516129004E-2</v>
      </c>
      <c r="AF12" s="74"/>
      <c r="AG12" s="36">
        <f>30*200*24</f>
        <v>144000</v>
      </c>
      <c r="AH12" s="74"/>
      <c r="AI12" s="74"/>
      <c r="AJ12" s="165">
        <f>SUM(B12,C12,F12,I12,L12,O12,R12,U12,X12,AA12,AD12,AG12)</f>
        <v>1675200</v>
      </c>
    </row>
    <row r="13" spans="1:57" x14ac:dyDescent="0.25">
      <c r="A13" s="18" t="s">
        <v>27</v>
      </c>
      <c r="B13" s="36">
        <f>30*80*24</f>
        <v>57600</v>
      </c>
      <c r="C13" s="36">
        <f>38*80*24</f>
        <v>72960</v>
      </c>
      <c r="D13" s="128">
        <f>(C13/B13)-1</f>
        <v>0.26666666666666661</v>
      </c>
      <c r="E13" s="76">
        <f>C13-B13</f>
        <v>15360</v>
      </c>
      <c r="F13" s="36">
        <f>27*80*24</f>
        <v>51840</v>
      </c>
      <c r="G13" s="128">
        <f>(F13/C13)-1</f>
        <v>-0.28947368421052633</v>
      </c>
      <c r="H13" s="76">
        <f>F13-C13</f>
        <v>-21120</v>
      </c>
      <c r="I13" s="36">
        <f>30*80*24</f>
        <v>57600</v>
      </c>
      <c r="J13" s="74">
        <f>(I13/F13)-1</f>
        <v>0.11111111111111116</v>
      </c>
      <c r="K13" s="74"/>
      <c r="L13" s="36">
        <f>31*80*24</f>
        <v>59520</v>
      </c>
      <c r="M13" s="74">
        <f>(L13/I13)-1</f>
        <v>3.3333333333333437E-2</v>
      </c>
      <c r="N13" s="74"/>
      <c r="O13" s="36">
        <f>30*80*24</f>
        <v>57600</v>
      </c>
      <c r="P13" s="74">
        <f>(O13/L13)-1</f>
        <v>-3.2258064516129004E-2</v>
      </c>
      <c r="Q13" s="74"/>
      <c r="R13" s="36">
        <f>31*80*24</f>
        <v>59520</v>
      </c>
      <c r="S13" s="74">
        <f>(R13/O13)-1</f>
        <v>3.3333333333333437E-2</v>
      </c>
      <c r="T13" s="74"/>
      <c r="U13" s="36">
        <f>31*80*24</f>
        <v>59520</v>
      </c>
      <c r="V13" s="74">
        <f>(U13/R13)-1</f>
        <v>0</v>
      </c>
      <c r="W13" s="74"/>
      <c r="X13" s="36">
        <f>20*80*24</f>
        <v>38400</v>
      </c>
      <c r="Y13" s="74">
        <f>(X13/U13)-1</f>
        <v>-0.35483870967741937</v>
      </c>
      <c r="Z13" s="74"/>
      <c r="AA13" s="36">
        <f>31*80*24</f>
        <v>59520</v>
      </c>
      <c r="AB13" s="74">
        <f>(AA13/X13)-1</f>
        <v>0.55000000000000004</v>
      </c>
      <c r="AC13" s="74"/>
      <c r="AD13" s="36">
        <f>30*80*24</f>
        <v>57600</v>
      </c>
      <c r="AE13" s="74">
        <f>(AD13/AA13)-1</f>
        <v>-3.2258064516129004E-2</v>
      </c>
      <c r="AF13" s="74"/>
      <c r="AG13" s="36">
        <f>30*80*24</f>
        <v>57600</v>
      </c>
      <c r="AH13" s="74"/>
      <c r="AI13" s="74"/>
      <c r="AJ13" s="165">
        <f>SUM(B13,C13,F13,I13,L13,O13,R13,U13,X13,AA13,AD13,AG13)</f>
        <v>689280</v>
      </c>
    </row>
    <row r="14" spans="1:57" x14ac:dyDescent="0.25">
      <c r="A14" s="18" t="s">
        <v>78</v>
      </c>
      <c r="B14" s="36">
        <v>200</v>
      </c>
      <c r="C14" s="36">
        <v>200</v>
      </c>
      <c r="D14" s="74"/>
      <c r="E14" s="76"/>
      <c r="F14" s="36">
        <v>200</v>
      </c>
      <c r="G14" s="74"/>
      <c r="H14" s="76"/>
      <c r="I14" s="36">
        <v>200</v>
      </c>
      <c r="J14" s="74"/>
      <c r="K14" s="74"/>
      <c r="L14" s="36">
        <v>200</v>
      </c>
      <c r="M14" s="74"/>
      <c r="N14" s="74"/>
      <c r="O14" s="36">
        <v>200</v>
      </c>
      <c r="P14" s="74"/>
      <c r="Q14" s="74"/>
      <c r="R14" s="36">
        <v>200</v>
      </c>
      <c r="S14" s="74"/>
      <c r="T14" s="74"/>
      <c r="U14" s="36">
        <v>200</v>
      </c>
      <c r="V14" s="74"/>
      <c r="W14" s="74"/>
      <c r="X14" s="36">
        <v>200</v>
      </c>
      <c r="Y14" s="74"/>
      <c r="Z14" s="74"/>
      <c r="AA14" s="36">
        <v>200</v>
      </c>
      <c r="AB14" s="74"/>
      <c r="AC14" s="74"/>
      <c r="AD14" s="36">
        <v>200</v>
      </c>
      <c r="AE14" s="74"/>
      <c r="AF14" s="74"/>
      <c r="AG14" s="36">
        <v>200</v>
      </c>
      <c r="AH14" s="74"/>
      <c r="AI14" s="74"/>
      <c r="AJ14" s="165"/>
    </row>
    <row r="15" spans="1:57" x14ac:dyDescent="0.25">
      <c r="A15" s="18" t="s">
        <v>79</v>
      </c>
      <c r="B15" s="36">
        <v>80</v>
      </c>
      <c r="C15" s="36">
        <v>80</v>
      </c>
      <c r="D15" s="74"/>
      <c r="E15" s="76"/>
      <c r="F15" s="36">
        <v>80</v>
      </c>
      <c r="G15" s="74"/>
      <c r="H15" s="76"/>
      <c r="I15" s="36">
        <v>80</v>
      </c>
      <c r="J15" s="74"/>
      <c r="K15" s="74"/>
      <c r="L15" s="36">
        <v>80</v>
      </c>
      <c r="M15" s="74"/>
      <c r="N15" s="74"/>
      <c r="O15" s="36">
        <v>80</v>
      </c>
      <c r="P15" s="74"/>
      <c r="Q15" s="74"/>
      <c r="R15" s="36">
        <v>80</v>
      </c>
      <c r="S15" s="74"/>
      <c r="T15" s="74"/>
      <c r="U15" s="36">
        <v>80</v>
      </c>
      <c r="V15" s="74"/>
      <c r="W15" s="74"/>
      <c r="X15" s="36">
        <v>80</v>
      </c>
      <c r="Y15" s="74"/>
      <c r="Z15" s="74"/>
      <c r="AA15" s="36">
        <v>80</v>
      </c>
      <c r="AB15" s="74"/>
      <c r="AC15" s="74"/>
      <c r="AD15" s="36">
        <v>80</v>
      </c>
      <c r="AE15" s="74"/>
      <c r="AF15" s="74"/>
      <c r="AG15" s="36">
        <v>80</v>
      </c>
      <c r="AH15" s="74"/>
      <c r="AI15" s="74"/>
      <c r="AJ15" s="165"/>
    </row>
    <row r="16" spans="1:57" x14ac:dyDescent="0.25">
      <c r="A16" s="196" t="s">
        <v>66</v>
      </c>
      <c r="B16" s="30"/>
      <c r="C16" s="30"/>
      <c r="D16" s="63"/>
      <c r="E16" s="127"/>
      <c r="F16" s="30"/>
      <c r="G16" s="63"/>
      <c r="H16" s="127"/>
      <c r="I16" s="30"/>
      <c r="J16" s="30"/>
      <c r="K16" s="30"/>
      <c r="L16" s="30"/>
      <c r="M16" s="63"/>
      <c r="N16" s="63"/>
      <c r="O16" s="30"/>
      <c r="P16" s="63"/>
      <c r="Q16" s="63"/>
      <c r="R16" s="30"/>
      <c r="S16" s="63"/>
      <c r="T16" s="63"/>
      <c r="U16" s="30"/>
      <c r="V16" s="63"/>
      <c r="W16" s="63"/>
      <c r="X16" s="30"/>
      <c r="Y16" s="63"/>
      <c r="Z16" s="63"/>
      <c r="AA16" s="30"/>
      <c r="AB16" s="63"/>
      <c r="AC16" s="63"/>
      <c r="AD16" s="30"/>
      <c r="AE16" s="63"/>
      <c r="AF16" s="63"/>
      <c r="AG16" s="30"/>
      <c r="AH16" s="63"/>
      <c r="AI16" s="63"/>
      <c r="AJ16" s="100"/>
    </row>
    <row r="17" spans="1:36" x14ac:dyDescent="0.25">
      <c r="A17" s="31" t="s">
        <v>35</v>
      </c>
      <c r="B17" s="32" t="s" vm="21">
        <v>17</v>
      </c>
      <c r="C17" s="32" t="s" vm="22">
        <v>17</v>
      </c>
      <c r="D17" s="60"/>
      <c r="E17" s="122"/>
      <c r="F17" s="32"/>
      <c r="G17" s="60"/>
      <c r="H17" s="122"/>
      <c r="I17" s="32"/>
      <c r="J17" s="74"/>
      <c r="K17" s="74"/>
      <c r="L17" s="32"/>
      <c r="M17" s="60"/>
      <c r="N17" s="60"/>
      <c r="O17" s="32"/>
      <c r="P17" s="60"/>
      <c r="Q17" s="60"/>
      <c r="R17" s="32"/>
      <c r="S17" s="60"/>
      <c r="T17" s="60"/>
      <c r="U17" s="32"/>
      <c r="V17" s="60"/>
      <c r="W17" s="60"/>
      <c r="X17" s="32"/>
      <c r="Y17" s="60"/>
      <c r="Z17" s="60"/>
      <c r="AA17" s="32"/>
      <c r="AB17" s="60"/>
      <c r="AC17" s="60"/>
      <c r="AD17" s="32"/>
      <c r="AE17" s="60"/>
      <c r="AF17" s="60"/>
      <c r="AG17" s="32"/>
      <c r="AH17" s="60"/>
      <c r="AI17" s="60"/>
      <c r="AJ17" s="96"/>
    </row>
    <row r="18" spans="1:36" x14ac:dyDescent="0.25">
      <c r="A18" s="18" t="s">
        <v>40</v>
      </c>
      <c r="B18" s="171">
        <v>3000000</v>
      </c>
      <c r="C18" s="171">
        <v>3000000</v>
      </c>
      <c r="D18" s="129">
        <f>(C18/B18)-1</f>
        <v>0</v>
      </c>
      <c r="E18" s="125">
        <f>C18-B18</f>
        <v>0</v>
      </c>
      <c r="F18" s="171">
        <v>3000000</v>
      </c>
      <c r="G18" s="129">
        <f>(F18/C18)-1</f>
        <v>0</v>
      </c>
      <c r="H18" s="125"/>
      <c r="I18" s="171">
        <v>3000000</v>
      </c>
      <c r="J18" s="74">
        <f>(I18/F18)-1</f>
        <v>0</v>
      </c>
      <c r="K18" s="74"/>
      <c r="L18" s="171">
        <v>3000000</v>
      </c>
      <c r="M18" s="103">
        <f>(L18/I18)-1</f>
        <v>0</v>
      </c>
      <c r="N18" s="103"/>
      <c r="O18" s="171">
        <v>3000000</v>
      </c>
      <c r="P18" s="103">
        <f>(O18/L18)-1</f>
        <v>0</v>
      </c>
      <c r="Q18" s="103"/>
      <c r="R18" s="171">
        <v>3000000</v>
      </c>
      <c r="S18" s="103">
        <f>(R18/O18)-1</f>
        <v>0</v>
      </c>
      <c r="T18" s="103"/>
      <c r="U18" s="171">
        <v>3000000</v>
      </c>
      <c r="V18" s="103">
        <f>(U18/R18)-1</f>
        <v>0</v>
      </c>
      <c r="W18" s="103"/>
      <c r="X18" s="171">
        <v>3000000</v>
      </c>
      <c r="Y18" s="103">
        <f>(X18/U18)-1</f>
        <v>0</v>
      </c>
      <c r="Z18" s="103"/>
      <c r="AA18" s="171">
        <v>3000000</v>
      </c>
      <c r="AB18" s="149">
        <f>(AA18/X18)-1</f>
        <v>0</v>
      </c>
      <c r="AC18" s="149"/>
      <c r="AD18" s="171">
        <v>3000000</v>
      </c>
      <c r="AE18" s="149">
        <f>(AD18/AA18)-1</f>
        <v>0</v>
      </c>
      <c r="AF18" s="150">
        <f>AD18-AA18</f>
        <v>0</v>
      </c>
      <c r="AG18" s="171">
        <v>3000000</v>
      </c>
      <c r="AH18" s="79"/>
      <c r="AI18" s="79"/>
      <c r="AJ18" s="141">
        <f t="shared" ref="AJ18" si="0">SUM(B18:AG18)</f>
        <v>36000000</v>
      </c>
    </row>
    <row r="19" spans="1:36" x14ac:dyDescent="0.25">
      <c r="A19" s="31" t="s">
        <v>41</v>
      </c>
      <c r="B19" s="32" t="s" vm="21">
        <v>17</v>
      </c>
      <c r="C19" s="32" t="s" vm="21">
        <v>17</v>
      </c>
      <c r="D19" s="32" t="s" vm="21">
        <v>17</v>
      </c>
      <c r="E19" s="32" t="s" vm="21">
        <v>17</v>
      </c>
      <c r="F19" s="32" t="s" vm="21">
        <v>17</v>
      </c>
      <c r="G19" s="32" t="s" vm="21">
        <v>17</v>
      </c>
      <c r="H19" s="32" t="s" vm="21">
        <v>17</v>
      </c>
      <c r="I19" s="32" t="s" vm="21">
        <v>17</v>
      </c>
      <c r="J19" s="32" t="s" vm="21">
        <v>17</v>
      </c>
      <c r="K19" s="32" t="s" vm="21">
        <v>17</v>
      </c>
      <c r="L19" s="32" t="s" vm="21">
        <v>17</v>
      </c>
      <c r="M19" s="32" t="s" vm="21">
        <v>17</v>
      </c>
      <c r="N19" s="32" t="s" vm="21">
        <v>17</v>
      </c>
      <c r="O19" s="32" t="s" vm="21">
        <v>17</v>
      </c>
      <c r="P19" s="32" t="s" vm="21">
        <v>17</v>
      </c>
      <c r="Q19" s="32" t="s" vm="21">
        <v>17</v>
      </c>
      <c r="R19" s="32" t="s" vm="21">
        <v>17</v>
      </c>
      <c r="S19" s="32" t="s" vm="21">
        <v>17</v>
      </c>
      <c r="T19" s="32" t="s" vm="21">
        <v>17</v>
      </c>
      <c r="U19" s="32" t="s" vm="21">
        <v>17</v>
      </c>
      <c r="V19" s="32" t="s" vm="21">
        <v>17</v>
      </c>
      <c r="W19" s="32" t="s" vm="21">
        <v>17</v>
      </c>
      <c r="X19" s="32" t="s" vm="21">
        <v>17</v>
      </c>
      <c r="Y19" s="32" t="s" vm="21">
        <v>17</v>
      </c>
      <c r="Z19" s="32" t="s" vm="21">
        <v>17</v>
      </c>
      <c r="AA19" s="32" t="s" vm="21">
        <v>17</v>
      </c>
      <c r="AB19" s="32" t="s" vm="21">
        <v>17</v>
      </c>
      <c r="AC19" s="32" t="s" vm="21">
        <v>17</v>
      </c>
      <c r="AD19" s="32" t="s" vm="21">
        <v>17</v>
      </c>
      <c r="AE19" s="32" t="s" vm="21">
        <v>17</v>
      </c>
      <c r="AF19" s="32" t="s" vm="21">
        <v>17</v>
      </c>
      <c r="AG19" s="32" t="s" vm="21">
        <v>17</v>
      </c>
      <c r="AH19" s="32" t="s" vm="21">
        <v>17</v>
      </c>
      <c r="AI19" s="32" t="s" vm="21">
        <v>17</v>
      </c>
      <c r="AJ19" s="32" t="s" vm="21">
        <v>17</v>
      </c>
    </row>
    <row r="20" spans="1:36" x14ac:dyDescent="0.25">
      <c r="A20" s="18" t="s">
        <v>42</v>
      </c>
      <c r="B20" s="48">
        <v>600000</v>
      </c>
      <c r="C20" s="48">
        <v>450000</v>
      </c>
      <c r="D20" s="128">
        <v>0</v>
      </c>
      <c r="E20" s="76">
        <f>C20-B20</f>
        <v>-150000</v>
      </c>
      <c r="F20" s="47">
        <f>AVERAGE(B20:C20)</f>
        <v>525000</v>
      </c>
      <c r="G20" s="128">
        <v>0</v>
      </c>
      <c r="H20" s="76"/>
      <c r="I20" s="47">
        <f>AVERAGE(C20,F20)</f>
        <v>487500</v>
      </c>
      <c r="J20" s="74">
        <v>0</v>
      </c>
      <c r="K20" s="74"/>
      <c r="L20" s="47">
        <f>AVERAGE(F20,I20)</f>
        <v>506250</v>
      </c>
      <c r="M20" s="74">
        <v>0</v>
      </c>
      <c r="N20" s="74"/>
      <c r="O20" s="47">
        <f>AVERAGE(I20,L20)</f>
        <v>496875</v>
      </c>
      <c r="P20" s="74">
        <v>0</v>
      </c>
      <c r="Q20" s="74"/>
      <c r="R20" s="47">
        <f>AVERAGE(L20,O20)</f>
        <v>501562.5</v>
      </c>
      <c r="S20" s="74">
        <v>0</v>
      </c>
      <c r="T20" s="74"/>
      <c r="U20" s="47">
        <f>AVERAGE(O20,R20)</f>
        <v>499218.75</v>
      </c>
      <c r="V20" s="74">
        <v>0</v>
      </c>
      <c r="W20" s="74"/>
      <c r="X20" s="47">
        <f>AVERAGE(R20,U20)</f>
        <v>500390.625</v>
      </c>
      <c r="Y20" s="74">
        <v>0</v>
      </c>
      <c r="Z20" s="74"/>
      <c r="AA20" s="47">
        <f>AVERAGE(U20,X20)</f>
        <v>499804.6875</v>
      </c>
      <c r="AB20" s="149">
        <v>0</v>
      </c>
      <c r="AC20" s="149"/>
      <c r="AD20" s="47">
        <f>AVERAGE(X20,AA20)</f>
        <v>500097.65625</v>
      </c>
      <c r="AE20" s="149">
        <v>0</v>
      </c>
      <c r="AF20" s="151">
        <f>AD20-AA20</f>
        <v>292.96875</v>
      </c>
      <c r="AG20" s="47">
        <f>AVERAGE(AA20,AD20)</f>
        <v>499951.171875</v>
      </c>
      <c r="AH20" s="80"/>
      <c r="AI20" s="80"/>
      <c r="AJ20" s="99">
        <f t="shared" ref="AJ20" si="1">SUM(B20:AG20)</f>
        <v>5916943.359375</v>
      </c>
    </row>
    <row r="21" spans="1:36" x14ac:dyDescent="0.25">
      <c r="A21" s="31" t="s">
        <v>45</v>
      </c>
      <c r="B21" s="32" t="s" vm="21">
        <v>17</v>
      </c>
      <c r="C21" s="32" t="s" vm="21">
        <v>17</v>
      </c>
      <c r="D21" s="32" t="s" vm="21">
        <v>17</v>
      </c>
      <c r="E21" s="32" t="s" vm="21">
        <v>17</v>
      </c>
      <c r="F21" s="32" t="s" vm="21">
        <v>17</v>
      </c>
      <c r="G21" s="32" t="s" vm="21">
        <v>17</v>
      </c>
      <c r="H21" s="32" t="s" vm="21">
        <v>17</v>
      </c>
      <c r="I21" s="32" t="s" vm="21">
        <v>17</v>
      </c>
      <c r="J21" s="32" t="s" vm="21">
        <v>17</v>
      </c>
      <c r="K21" s="32" t="s" vm="21">
        <v>17</v>
      </c>
      <c r="L21" s="32" t="s" vm="21">
        <v>17</v>
      </c>
      <c r="M21" s="32" t="s" vm="21">
        <v>17</v>
      </c>
      <c r="N21" s="32" t="s" vm="21">
        <v>17</v>
      </c>
      <c r="O21" s="32" t="s" vm="21">
        <v>17</v>
      </c>
      <c r="P21" s="32" t="s" vm="21">
        <v>17</v>
      </c>
      <c r="Q21" s="32" t="s" vm="21">
        <v>17</v>
      </c>
      <c r="R21" s="32" t="s" vm="21">
        <v>17</v>
      </c>
      <c r="S21" s="32" t="s" vm="21">
        <v>17</v>
      </c>
      <c r="T21" s="32" t="s" vm="21">
        <v>17</v>
      </c>
      <c r="U21" s="32" t="s" vm="21">
        <v>17</v>
      </c>
      <c r="V21" s="32" t="s" vm="21">
        <v>17</v>
      </c>
      <c r="W21" s="32" t="s" vm="21">
        <v>17</v>
      </c>
      <c r="X21" s="32" t="s" vm="21">
        <v>17</v>
      </c>
      <c r="Y21" s="32" t="s" vm="21">
        <v>17</v>
      </c>
      <c r="Z21" s="32" t="s" vm="21">
        <v>17</v>
      </c>
      <c r="AA21" s="32" t="s" vm="21">
        <v>17</v>
      </c>
      <c r="AB21" s="32" t="s" vm="21">
        <v>17</v>
      </c>
      <c r="AC21" s="32" t="s" vm="21">
        <v>17</v>
      </c>
      <c r="AD21" s="32" t="s" vm="21">
        <v>17</v>
      </c>
      <c r="AE21" s="32" t="s" vm="21">
        <v>17</v>
      </c>
      <c r="AF21" s="32" t="s" vm="21">
        <v>17</v>
      </c>
      <c r="AG21" s="32" t="s" vm="21">
        <v>17</v>
      </c>
      <c r="AH21" s="32" t="s" vm="21">
        <v>17</v>
      </c>
      <c r="AI21" s="32" t="s" vm="21">
        <v>17</v>
      </c>
      <c r="AJ21" s="195"/>
    </row>
    <row r="22" spans="1:36" x14ac:dyDescent="0.25">
      <c r="A22" s="174" t="s">
        <v>58</v>
      </c>
      <c r="B22" s="174">
        <v>300000</v>
      </c>
      <c r="C22" s="174">
        <v>280000</v>
      </c>
      <c r="D22" s="128">
        <v>0</v>
      </c>
      <c r="E22" s="76">
        <f t="shared" ref="E22:E23" si="2">C22-B22</f>
        <v>-20000</v>
      </c>
      <c r="F22" s="174">
        <f>AVERAGE(B22:C22)</f>
        <v>290000</v>
      </c>
      <c r="G22" s="128">
        <v>0</v>
      </c>
      <c r="H22" s="76">
        <f t="shared" ref="H22:H23" si="3">F22-E22</f>
        <v>310000</v>
      </c>
      <c r="I22" s="174">
        <f>F22</f>
        <v>290000</v>
      </c>
      <c r="J22" s="128">
        <v>0</v>
      </c>
      <c r="K22" s="76">
        <f t="shared" ref="K22:K23" si="4">I22-H22</f>
        <v>-20000</v>
      </c>
      <c r="L22" s="174">
        <v>300000</v>
      </c>
      <c r="M22" s="128">
        <v>0</v>
      </c>
      <c r="N22" s="76">
        <f t="shared" ref="N22:N23" si="5">L22-K22</f>
        <v>320000</v>
      </c>
      <c r="O22" s="174">
        <v>222000</v>
      </c>
      <c r="P22" s="128">
        <v>0</v>
      </c>
      <c r="Q22" s="76">
        <f t="shared" ref="Q22:Q23" si="6">O22-N22</f>
        <v>-98000</v>
      </c>
      <c r="R22" s="174">
        <f>AVERAGE(O22,L22,I22)</f>
        <v>270666.66666666669</v>
      </c>
      <c r="S22" s="128">
        <v>0</v>
      </c>
      <c r="T22" s="76">
        <f t="shared" ref="T22:T23" si="7">R22-Q22</f>
        <v>368666.66666666669</v>
      </c>
      <c r="U22" s="174">
        <f>AVERAGE(R22,O22,L22)</f>
        <v>264222.22222222225</v>
      </c>
      <c r="V22" s="128">
        <v>0</v>
      </c>
      <c r="W22" s="76">
        <f t="shared" ref="W22:W23" si="8">U22-T22</f>
        <v>-104444.44444444444</v>
      </c>
      <c r="X22" s="174">
        <v>222000</v>
      </c>
      <c r="Y22" s="128">
        <v>0</v>
      </c>
      <c r="Z22" s="76">
        <f t="shared" ref="Z22:Z23" si="9">X22-W22</f>
        <v>326444.44444444444</v>
      </c>
      <c r="AA22" s="174">
        <v>222000</v>
      </c>
      <c r="AB22" s="128">
        <v>0</v>
      </c>
      <c r="AC22" s="76">
        <f t="shared" ref="AC22:AC23" si="10">AA22-Z22</f>
        <v>-104444.44444444444</v>
      </c>
      <c r="AD22" s="174">
        <f>AVERAGE(AA22,X22,U22)</f>
        <v>236074.07407407407</v>
      </c>
      <c r="AE22" s="128">
        <v>0</v>
      </c>
      <c r="AF22" s="76">
        <f t="shared" ref="AF22:AF23" si="11">AD22-AC22</f>
        <v>340518.51851851854</v>
      </c>
      <c r="AG22" s="174">
        <f>AVERAGE(AD22,AA22,X22)</f>
        <v>226691.35802469135</v>
      </c>
      <c r="AH22" s="128">
        <v>0</v>
      </c>
      <c r="AI22" s="76">
        <f t="shared" ref="AI22:AI23" si="12">AG22-AF22</f>
        <v>-113827.16049382719</v>
      </c>
      <c r="AJ22" s="195"/>
    </row>
    <row r="23" spans="1:36" x14ac:dyDescent="0.25">
      <c r="A23" s="174" t="s">
        <v>59</v>
      </c>
      <c r="B23" s="174">
        <f>B22*0.25</f>
        <v>75000</v>
      </c>
      <c r="C23" s="174">
        <f>C22*0.25</f>
        <v>70000</v>
      </c>
      <c r="D23" s="128">
        <v>0</v>
      </c>
      <c r="E23" s="76">
        <f t="shared" si="2"/>
        <v>-5000</v>
      </c>
      <c r="F23" s="174">
        <f>F22*0.25</f>
        <v>72500</v>
      </c>
      <c r="G23" s="128">
        <v>0</v>
      </c>
      <c r="H23" s="76">
        <f t="shared" si="3"/>
        <v>77500</v>
      </c>
      <c r="I23" s="174">
        <f>I22*0.25</f>
        <v>72500</v>
      </c>
      <c r="J23" s="128">
        <v>0</v>
      </c>
      <c r="K23" s="76">
        <f t="shared" si="4"/>
        <v>-5000</v>
      </c>
      <c r="L23" s="174">
        <f>L22*0.25</f>
        <v>75000</v>
      </c>
      <c r="M23" s="128">
        <v>0</v>
      </c>
      <c r="N23" s="76">
        <f t="shared" si="5"/>
        <v>80000</v>
      </c>
      <c r="O23" s="174">
        <f>O22*0.25</f>
        <v>55500</v>
      </c>
      <c r="P23" s="128">
        <v>0</v>
      </c>
      <c r="Q23" s="76">
        <f t="shared" si="6"/>
        <v>-24500</v>
      </c>
      <c r="R23" s="174">
        <f>R22*0.25</f>
        <v>67666.666666666672</v>
      </c>
      <c r="S23" s="128">
        <v>0</v>
      </c>
      <c r="T23" s="76">
        <f t="shared" si="7"/>
        <v>92166.666666666672</v>
      </c>
      <c r="U23" s="174">
        <f>U22*0.25</f>
        <v>66055.555555555562</v>
      </c>
      <c r="V23" s="128">
        <v>0</v>
      </c>
      <c r="W23" s="76">
        <f t="shared" si="8"/>
        <v>-26111.111111111109</v>
      </c>
      <c r="X23" s="174">
        <f>X22*0.25</f>
        <v>55500</v>
      </c>
      <c r="Y23" s="128">
        <v>0</v>
      </c>
      <c r="Z23" s="76">
        <f t="shared" si="9"/>
        <v>81611.111111111109</v>
      </c>
      <c r="AA23" s="174">
        <f>AA22*0.25</f>
        <v>55500</v>
      </c>
      <c r="AB23" s="128">
        <v>0</v>
      </c>
      <c r="AC23" s="76">
        <f t="shared" si="10"/>
        <v>-26111.111111111109</v>
      </c>
      <c r="AD23" s="174">
        <f>AD22*0.25</f>
        <v>59018.518518518518</v>
      </c>
      <c r="AE23" s="128">
        <v>0</v>
      </c>
      <c r="AF23" s="76">
        <f t="shared" si="11"/>
        <v>85129.629629629635</v>
      </c>
      <c r="AG23" s="174">
        <f>AG22*0.25</f>
        <v>56672.839506172837</v>
      </c>
      <c r="AH23" s="128">
        <v>0</v>
      </c>
      <c r="AI23" s="76">
        <f t="shared" si="12"/>
        <v>-28456.790123456798</v>
      </c>
      <c r="AJ23" s="195"/>
    </row>
    <row r="24" spans="1:36" x14ac:dyDescent="0.25">
      <c r="A24" s="196" t="s">
        <v>46</v>
      </c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/>
      <c r="AI24" s="30"/>
      <c r="AJ24" s="30"/>
    </row>
    <row r="25" spans="1:36" x14ac:dyDescent="0.25">
      <c r="A25" s="31" t="s">
        <v>54</v>
      </c>
      <c r="B25" s="32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  <c r="AH25" s="32"/>
      <c r="AI25" s="32"/>
      <c r="AJ25" s="32"/>
    </row>
    <row r="26" spans="1:36" x14ac:dyDescent="0.25">
      <c r="A26" s="18" t="s">
        <v>43</v>
      </c>
      <c r="B26" s="176">
        <v>1300000</v>
      </c>
      <c r="C26" s="176">
        <v>1250000</v>
      </c>
      <c r="D26" s="128">
        <v>0</v>
      </c>
      <c r="E26" s="76">
        <f>C26-B26</f>
        <v>-50000</v>
      </c>
      <c r="F26" s="176">
        <v>1200000</v>
      </c>
      <c r="G26" s="128">
        <v>0</v>
      </c>
      <c r="H26" s="76"/>
      <c r="I26" s="176">
        <v>1350000</v>
      </c>
      <c r="J26" s="74">
        <v>0</v>
      </c>
      <c r="K26" s="74"/>
      <c r="L26" s="176">
        <v>1100000</v>
      </c>
      <c r="M26" s="74">
        <v>0</v>
      </c>
      <c r="N26" s="74"/>
      <c r="O26" s="176">
        <v>1050000</v>
      </c>
      <c r="P26" s="74">
        <v>0</v>
      </c>
      <c r="Q26" s="74"/>
      <c r="R26" s="176">
        <f>B26</f>
        <v>1300000</v>
      </c>
      <c r="S26" s="74">
        <v>0</v>
      </c>
      <c r="T26" s="74"/>
      <c r="U26" s="176">
        <f>F26</f>
        <v>1200000</v>
      </c>
      <c r="V26" s="74">
        <v>0</v>
      </c>
      <c r="W26" s="74"/>
      <c r="X26" s="176">
        <f>I26</f>
        <v>1350000</v>
      </c>
      <c r="Y26" s="74">
        <v>0</v>
      </c>
      <c r="Z26" s="74"/>
      <c r="AA26" s="176">
        <f>L26</f>
        <v>1100000</v>
      </c>
      <c r="AB26" s="149">
        <v>0</v>
      </c>
      <c r="AC26" s="149"/>
      <c r="AD26" s="176">
        <f>O26</f>
        <v>1050000</v>
      </c>
      <c r="AE26" s="152">
        <v>0</v>
      </c>
      <c r="AF26" s="81">
        <f>AD26-AA26</f>
        <v>-50000</v>
      </c>
      <c r="AG26" s="176">
        <f>R26</f>
        <v>1300000</v>
      </c>
      <c r="AH26" s="81"/>
      <c r="AI26" s="81"/>
      <c r="AJ26" s="99">
        <f t="shared" ref="AJ26:AJ43" si="13">SUM(B26:AG26)</f>
        <v>14450000</v>
      </c>
    </row>
    <row r="27" spans="1:36" x14ac:dyDescent="0.25">
      <c r="A27" s="18" t="s">
        <v>44</v>
      </c>
      <c r="B27" s="176">
        <f>B26/3</f>
        <v>433333.33333333331</v>
      </c>
      <c r="C27" s="176">
        <f>C26/3</f>
        <v>416666.66666666669</v>
      </c>
      <c r="D27" s="128">
        <f>(C27/B27)-1</f>
        <v>-3.8461538461538325E-2</v>
      </c>
      <c r="E27" s="76">
        <f t="shared" ref="E27:E43" si="14">C27-B27</f>
        <v>-16666.666666666628</v>
      </c>
      <c r="F27" s="176">
        <f>F26/3</f>
        <v>400000</v>
      </c>
      <c r="G27" s="128">
        <f t="shared" ref="G27:G43" si="15">(F27/C27)-1</f>
        <v>-4.0000000000000036E-2</v>
      </c>
      <c r="H27" s="76"/>
      <c r="I27" s="176">
        <f>I26/3</f>
        <v>450000</v>
      </c>
      <c r="J27" s="74">
        <f t="shared" ref="J27:J43" si="16">(I27/F27)-1</f>
        <v>0.125</v>
      </c>
      <c r="K27" s="74"/>
      <c r="L27" s="176">
        <f>L26/3</f>
        <v>366666.66666666669</v>
      </c>
      <c r="M27" s="74">
        <f t="shared" ref="M27:M43" si="17">(L27/I27)-1</f>
        <v>-0.18518518518518512</v>
      </c>
      <c r="N27" s="74"/>
      <c r="O27" s="176">
        <f>O26/3</f>
        <v>350000</v>
      </c>
      <c r="P27" s="74">
        <f t="shared" ref="P27:P43" si="18">(O27/L27)-1</f>
        <v>-4.5454545454545525E-2</v>
      </c>
      <c r="Q27" s="74"/>
      <c r="R27" s="176">
        <f>R26/3</f>
        <v>433333.33333333331</v>
      </c>
      <c r="S27" s="74">
        <f t="shared" ref="S27:S43" si="19">(R27/O27)-1</f>
        <v>0.23809523809523814</v>
      </c>
      <c r="T27" s="74"/>
      <c r="U27" s="176">
        <f>U26/3</f>
        <v>400000</v>
      </c>
      <c r="V27" s="74">
        <f t="shared" ref="V27:V43" si="20">(U27/R27)-1</f>
        <v>-7.6923076923076872E-2</v>
      </c>
      <c r="W27" s="74"/>
      <c r="X27" s="176">
        <f>X26/3</f>
        <v>450000</v>
      </c>
      <c r="Y27" s="74">
        <f>(X27/U27)-1</f>
        <v>0.125</v>
      </c>
      <c r="Z27" s="74"/>
      <c r="AA27" s="176">
        <f>AA26/3</f>
        <v>366666.66666666669</v>
      </c>
      <c r="AB27" s="149">
        <f>(AA27/X27)-1</f>
        <v>-0.18518518518518512</v>
      </c>
      <c r="AC27" s="149"/>
      <c r="AD27" s="176">
        <f>AD26/3</f>
        <v>350000</v>
      </c>
      <c r="AE27" s="152">
        <f t="shared" ref="AE27:AE30" si="21">(AD27/AA27)-1</f>
        <v>-4.5454545454545525E-2</v>
      </c>
      <c r="AF27" s="81">
        <f t="shared" ref="AF27:AF30" si="22">AD27-AA27</f>
        <v>-16666.666666666686</v>
      </c>
      <c r="AG27" s="176">
        <f>AG26/3</f>
        <v>433333.33333333331</v>
      </c>
      <c r="AH27" s="81"/>
      <c r="AI27" s="81"/>
      <c r="AJ27" s="101">
        <f t="shared" si="13"/>
        <v>4816666.5380978268</v>
      </c>
    </row>
    <row r="28" spans="1:36" x14ac:dyDescent="0.25">
      <c r="A28" s="18" t="s">
        <v>47</v>
      </c>
      <c r="B28" s="176">
        <f>B26*0.15</f>
        <v>195000</v>
      </c>
      <c r="C28" s="176">
        <f>C26*0.15</f>
        <v>187500</v>
      </c>
      <c r="D28" s="128">
        <f>(C28/B28)-1</f>
        <v>-3.8461538461538436E-2</v>
      </c>
      <c r="E28" s="76">
        <f t="shared" si="14"/>
        <v>-7500</v>
      </c>
      <c r="F28" s="176">
        <f>F26*0.15</f>
        <v>180000</v>
      </c>
      <c r="G28" s="128">
        <f t="shared" si="15"/>
        <v>-4.0000000000000036E-2</v>
      </c>
      <c r="H28" s="76"/>
      <c r="I28" s="176">
        <f>I26*0.15</f>
        <v>202500</v>
      </c>
      <c r="J28" s="74">
        <f t="shared" si="16"/>
        <v>0.125</v>
      </c>
      <c r="K28" s="74"/>
      <c r="L28" s="176">
        <f>L26*0.15</f>
        <v>165000</v>
      </c>
      <c r="M28" s="74">
        <f t="shared" si="17"/>
        <v>-0.18518518518518523</v>
      </c>
      <c r="N28" s="74"/>
      <c r="O28" s="176">
        <f>O26*0.15</f>
        <v>157500</v>
      </c>
      <c r="P28" s="74">
        <f t="shared" si="18"/>
        <v>-4.5454545454545414E-2</v>
      </c>
      <c r="Q28" s="74"/>
      <c r="R28" s="176">
        <f>R26*0.15</f>
        <v>195000</v>
      </c>
      <c r="S28" s="74">
        <f t="shared" si="19"/>
        <v>0.23809523809523814</v>
      </c>
      <c r="T28" s="74"/>
      <c r="U28" s="176">
        <f>U26*0.15</f>
        <v>180000</v>
      </c>
      <c r="V28" s="74">
        <f t="shared" si="20"/>
        <v>-7.6923076923076872E-2</v>
      </c>
      <c r="W28" s="74"/>
      <c r="X28" s="176">
        <f>X26*0.15</f>
        <v>202500</v>
      </c>
      <c r="Y28" s="74">
        <f>(X28/U28)-1</f>
        <v>0.125</v>
      </c>
      <c r="Z28" s="74"/>
      <c r="AA28" s="176">
        <f>AA26*0.15</f>
        <v>165000</v>
      </c>
      <c r="AB28" s="149">
        <f>(AA28/X28)-1</f>
        <v>-0.18518518518518523</v>
      </c>
      <c r="AC28" s="149"/>
      <c r="AD28" s="176">
        <f>AD26*0.15</f>
        <v>157500</v>
      </c>
      <c r="AE28" s="152">
        <f t="shared" si="21"/>
        <v>-4.5454545454545414E-2</v>
      </c>
      <c r="AF28" s="81">
        <f t="shared" si="22"/>
        <v>-7500</v>
      </c>
      <c r="AG28" s="176">
        <f>AG26*0.15</f>
        <v>195000</v>
      </c>
      <c r="AH28" s="81"/>
      <c r="AI28" s="81"/>
      <c r="AJ28" s="101">
        <f t="shared" si="13"/>
        <v>2167499.8714311616</v>
      </c>
    </row>
    <row r="29" spans="1:36" x14ac:dyDescent="0.25">
      <c r="A29" s="18" t="s">
        <v>48</v>
      </c>
      <c r="B29" s="176">
        <f>B26*0.33</f>
        <v>429000</v>
      </c>
      <c r="C29" s="176">
        <f>C26*0.33</f>
        <v>412500</v>
      </c>
      <c r="D29" s="128">
        <f>(C29/B29)-1</f>
        <v>-3.8461538461538436E-2</v>
      </c>
      <c r="E29" s="76">
        <f t="shared" si="14"/>
        <v>-16500</v>
      </c>
      <c r="F29" s="176">
        <f>F26*0.33</f>
        <v>396000</v>
      </c>
      <c r="G29" s="128">
        <f t="shared" si="15"/>
        <v>-4.0000000000000036E-2</v>
      </c>
      <c r="H29" s="76"/>
      <c r="I29" s="176">
        <f>I26*0.33</f>
        <v>445500</v>
      </c>
      <c r="J29" s="74">
        <f t="shared" si="16"/>
        <v>0.125</v>
      </c>
      <c r="K29" s="74"/>
      <c r="L29" s="176">
        <f>L26*0.33</f>
        <v>363000</v>
      </c>
      <c r="M29" s="74">
        <f t="shared" si="17"/>
        <v>-0.18518518518518523</v>
      </c>
      <c r="N29" s="74"/>
      <c r="O29" s="176">
        <f>O26*0.33</f>
        <v>346500</v>
      </c>
      <c r="P29" s="74">
        <f t="shared" si="18"/>
        <v>-4.5454545454545414E-2</v>
      </c>
      <c r="Q29" s="74"/>
      <c r="R29" s="176">
        <f>R26*0.33</f>
        <v>429000</v>
      </c>
      <c r="S29" s="74">
        <f t="shared" si="19"/>
        <v>0.23809523809523814</v>
      </c>
      <c r="T29" s="74"/>
      <c r="U29" s="176">
        <f>U26*0.33</f>
        <v>396000</v>
      </c>
      <c r="V29" s="74">
        <f t="shared" si="20"/>
        <v>-7.6923076923076872E-2</v>
      </c>
      <c r="W29" s="74"/>
      <c r="X29" s="176">
        <f>X26*0.33</f>
        <v>445500</v>
      </c>
      <c r="Y29" s="74">
        <f>(X29/U29)-1</f>
        <v>0.125</v>
      </c>
      <c r="Z29" s="74"/>
      <c r="AA29" s="176">
        <f>AA26*0.33</f>
        <v>363000</v>
      </c>
      <c r="AB29" s="149">
        <f>(AA29/X29)-1</f>
        <v>-0.18518518518518523</v>
      </c>
      <c r="AC29" s="149"/>
      <c r="AD29" s="176">
        <f>AD26*0.33</f>
        <v>346500</v>
      </c>
      <c r="AE29" s="152">
        <f t="shared" si="21"/>
        <v>-4.5454545454545414E-2</v>
      </c>
      <c r="AF29" s="81">
        <f t="shared" si="22"/>
        <v>-16500</v>
      </c>
      <c r="AG29" s="176">
        <f>AG26*0.33</f>
        <v>429000</v>
      </c>
      <c r="AH29" s="81"/>
      <c r="AI29" s="81"/>
      <c r="AJ29" s="101">
        <f t="shared" si="13"/>
        <v>4768499.8714311607</v>
      </c>
    </row>
    <row r="30" spans="1:36" x14ac:dyDescent="0.25">
      <c r="A30" s="18" t="s">
        <v>49</v>
      </c>
      <c r="B30" s="176">
        <f>B26*0.4</f>
        <v>520000</v>
      </c>
      <c r="C30" s="176">
        <f>C26*0.4</f>
        <v>500000</v>
      </c>
      <c r="D30" s="128">
        <f>(C30/B30)-1</f>
        <v>-3.8461538461538436E-2</v>
      </c>
      <c r="E30" s="76">
        <f t="shared" si="14"/>
        <v>-20000</v>
      </c>
      <c r="F30" s="176">
        <f>F26*0.4</f>
        <v>480000</v>
      </c>
      <c r="G30" s="128">
        <f t="shared" si="15"/>
        <v>-4.0000000000000036E-2</v>
      </c>
      <c r="H30" s="76"/>
      <c r="I30" s="176">
        <f>I26*0.4</f>
        <v>540000</v>
      </c>
      <c r="J30" s="74">
        <f t="shared" si="16"/>
        <v>0.125</v>
      </c>
      <c r="K30" s="74"/>
      <c r="L30" s="176">
        <f>L26*0.4</f>
        <v>440000</v>
      </c>
      <c r="M30" s="74">
        <f t="shared" si="17"/>
        <v>-0.18518518518518523</v>
      </c>
      <c r="N30" s="74"/>
      <c r="O30" s="176">
        <f>O26*0.4</f>
        <v>420000</v>
      </c>
      <c r="P30" s="74">
        <f t="shared" si="18"/>
        <v>-4.5454545454545414E-2</v>
      </c>
      <c r="Q30" s="74"/>
      <c r="R30" s="176">
        <f>R26*0.4</f>
        <v>520000</v>
      </c>
      <c r="S30" s="74">
        <f t="shared" si="19"/>
        <v>0.23809523809523814</v>
      </c>
      <c r="T30" s="74"/>
      <c r="U30" s="176">
        <f>U26*0.4</f>
        <v>480000</v>
      </c>
      <c r="V30" s="74">
        <f t="shared" si="20"/>
        <v>-7.6923076923076872E-2</v>
      </c>
      <c r="W30" s="74"/>
      <c r="X30" s="176">
        <f>X26*0.4</f>
        <v>540000</v>
      </c>
      <c r="Y30" s="74">
        <f>(X30/U30)-1</f>
        <v>0.125</v>
      </c>
      <c r="Z30" s="74"/>
      <c r="AA30" s="176">
        <f>AA26*0.4</f>
        <v>440000</v>
      </c>
      <c r="AB30" s="149">
        <f>(AA30/X30)-1</f>
        <v>-0.18518518518518523</v>
      </c>
      <c r="AC30" s="149"/>
      <c r="AD30" s="176">
        <f>AD26*0.4</f>
        <v>420000</v>
      </c>
      <c r="AE30" s="152">
        <f t="shared" si="21"/>
        <v>-4.5454545454545414E-2</v>
      </c>
      <c r="AF30" s="81">
        <f t="shared" si="22"/>
        <v>-20000</v>
      </c>
      <c r="AG30" s="176">
        <f>AG26*0.4</f>
        <v>520000</v>
      </c>
      <c r="AH30" s="81"/>
      <c r="AI30" s="81"/>
      <c r="AJ30" s="101">
        <f t="shared" si="13"/>
        <v>5779999.8714311607</v>
      </c>
    </row>
    <row r="31" spans="1:36" x14ac:dyDescent="0.25">
      <c r="A31" s="18" t="s">
        <v>50</v>
      </c>
      <c r="B31" s="176">
        <f>B26*0.1</f>
        <v>130000</v>
      </c>
      <c r="C31" s="176">
        <f>C26*0.1</f>
        <v>125000</v>
      </c>
      <c r="D31" s="128">
        <v>0</v>
      </c>
      <c r="E31" s="76">
        <f t="shared" si="14"/>
        <v>-5000</v>
      </c>
      <c r="F31" s="176">
        <f>F26*0.1</f>
        <v>120000</v>
      </c>
      <c r="G31" s="128">
        <v>0</v>
      </c>
      <c r="H31" s="76"/>
      <c r="I31" s="176">
        <f>I26*0.1</f>
        <v>135000</v>
      </c>
      <c r="J31" s="74">
        <v>0</v>
      </c>
      <c r="K31" s="74"/>
      <c r="L31" s="176">
        <f>L26*0.1</f>
        <v>110000</v>
      </c>
      <c r="M31" s="74">
        <v>0</v>
      </c>
      <c r="N31" s="74"/>
      <c r="O31" s="176">
        <f>O26*0.1</f>
        <v>105000</v>
      </c>
      <c r="P31" s="74">
        <v>0</v>
      </c>
      <c r="Q31" s="74"/>
      <c r="R31" s="176">
        <f>R26*0.1</f>
        <v>130000</v>
      </c>
      <c r="S31" s="74">
        <v>0</v>
      </c>
      <c r="T31" s="74"/>
      <c r="U31" s="176">
        <f>U26*0.1</f>
        <v>120000</v>
      </c>
      <c r="V31" s="74">
        <v>0</v>
      </c>
      <c r="W31" s="74"/>
      <c r="X31" s="176">
        <f>X26*0.1</f>
        <v>135000</v>
      </c>
      <c r="Y31" s="74">
        <v>0</v>
      </c>
      <c r="Z31" s="74"/>
      <c r="AA31" s="176">
        <f>AA26*0.1</f>
        <v>110000</v>
      </c>
      <c r="AB31" s="152">
        <v>0</v>
      </c>
      <c r="AC31" s="152"/>
      <c r="AD31" s="176">
        <f>AD26*0.1</f>
        <v>105000</v>
      </c>
      <c r="AE31" s="152">
        <v>0</v>
      </c>
      <c r="AF31" s="82">
        <v>0</v>
      </c>
      <c r="AG31" s="176">
        <f>AG26*0.1</f>
        <v>130000</v>
      </c>
      <c r="AH31" s="82"/>
      <c r="AI31" s="82"/>
      <c r="AJ31" s="99">
        <f t="shared" si="13"/>
        <v>1450000</v>
      </c>
    </row>
    <row r="32" spans="1:36" x14ac:dyDescent="0.25">
      <c r="A32" s="18" t="s">
        <v>51</v>
      </c>
      <c r="B32" s="176">
        <f>B26*0.08</f>
        <v>104000</v>
      </c>
      <c r="C32" s="176">
        <f>C26*0.08</f>
        <v>100000</v>
      </c>
      <c r="D32" s="128">
        <v>0</v>
      </c>
      <c r="E32" s="76">
        <f t="shared" si="14"/>
        <v>-4000</v>
      </c>
      <c r="F32" s="176">
        <f>F26*0.08</f>
        <v>96000</v>
      </c>
      <c r="G32" s="128">
        <v>0</v>
      </c>
      <c r="H32" s="76"/>
      <c r="I32" s="176">
        <f>I26*0.08</f>
        <v>108000</v>
      </c>
      <c r="J32" s="74">
        <v>0</v>
      </c>
      <c r="K32" s="74"/>
      <c r="L32" s="176">
        <f>L26*0.08</f>
        <v>88000</v>
      </c>
      <c r="M32" s="74">
        <v>0</v>
      </c>
      <c r="N32" s="74"/>
      <c r="O32" s="176">
        <f>O26*0.08</f>
        <v>84000</v>
      </c>
      <c r="P32" s="74">
        <v>0</v>
      </c>
      <c r="Q32" s="74"/>
      <c r="R32" s="176">
        <f>R26*0.08</f>
        <v>104000</v>
      </c>
      <c r="S32" s="74">
        <v>0</v>
      </c>
      <c r="T32" s="74"/>
      <c r="U32" s="176">
        <f>U26*0.08</f>
        <v>96000</v>
      </c>
      <c r="V32" s="74">
        <v>0</v>
      </c>
      <c r="W32" s="74"/>
      <c r="X32" s="176">
        <f>X26*0.08</f>
        <v>108000</v>
      </c>
      <c r="Y32" s="74">
        <v>0</v>
      </c>
      <c r="Z32" s="74"/>
      <c r="AA32" s="176">
        <f>AA26*0.08</f>
        <v>88000</v>
      </c>
      <c r="AB32" s="152">
        <v>0</v>
      </c>
      <c r="AC32" s="152"/>
      <c r="AD32" s="176">
        <f>AD26*0.08</f>
        <v>84000</v>
      </c>
      <c r="AE32" s="152">
        <v>0</v>
      </c>
      <c r="AF32" s="82">
        <v>0</v>
      </c>
      <c r="AG32" s="176">
        <f>AG26*0.08</f>
        <v>104000</v>
      </c>
      <c r="AH32" s="82"/>
      <c r="AI32" s="82"/>
      <c r="AJ32" s="99">
        <f t="shared" si="13"/>
        <v>1160000</v>
      </c>
    </row>
    <row r="33" spans="1:36" x14ac:dyDescent="0.25">
      <c r="A33" s="18" t="s">
        <v>52</v>
      </c>
      <c r="B33" s="176">
        <f>B26*0.15</f>
        <v>195000</v>
      </c>
      <c r="C33" s="176">
        <f>C26*0.15</f>
        <v>187500</v>
      </c>
      <c r="D33" s="128">
        <v>0</v>
      </c>
      <c r="E33" s="76">
        <f t="shared" si="14"/>
        <v>-7500</v>
      </c>
      <c r="F33" s="176">
        <f>F26*0.15</f>
        <v>180000</v>
      </c>
      <c r="G33" s="128">
        <v>0</v>
      </c>
      <c r="H33" s="76"/>
      <c r="I33" s="176">
        <f>I26*0.15</f>
        <v>202500</v>
      </c>
      <c r="J33" s="74">
        <v>0</v>
      </c>
      <c r="K33" s="74"/>
      <c r="L33" s="176">
        <f>L26*0.15</f>
        <v>165000</v>
      </c>
      <c r="M33" s="74">
        <v>0</v>
      </c>
      <c r="N33" s="74"/>
      <c r="O33" s="176">
        <f>O26*0.15</f>
        <v>157500</v>
      </c>
      <c r="P33" s="74">
        <v>0</v>
      </c>
      <c r="Q33" s="74"/>
      <c r="R33" s="176">
        <f>R26*0.15</f>
        <v>195000</v>
      </c>
      <c r="S33" s="74">
        <v>0</v>
      </c>
      <c r="T33" s="74"/>
      <c r="U33" s="176">
        <f>U26*0.15</f>
        <v>180000</v>
      </c>
      <c r="V33" s="74">
        <v>0</v>
      </c>
      <c r="W33" s="74"/>
      <c r="X33" s="176">
        <f>X26*0.15</f>
        <v>202500</v>
      </c>
      <c r="Y33" s="74">
        <v>0</v>
      </c>
      <c r="Z33" s="74"/>
      <c r="AA33" s="176">
        <f>AA26*0.15</f>
        <v>165000</v>
      </c>
      <c r="AB33" s="152">
        <v>0</v>
      </c>
      <c r="AC33" s="152"/>
      <c r="AD33" s="176">
        <f>AD26*0.15</f>
        <v>157500</v>
      </c>
      <c r="AE33" s="152">
        <v>0</v>
      </c>
      <c r="AF33" s="82">
        <v>0</v>
      </c>
      <c r="AG33" s="176">
        <f>AG26*0.15</f>
        <v>195000</v>
      </c>
      <c r="AH33" s="83"/>
      <c r="AI33" s="83"/>
      <c r="AJ33" s="99">
        <f t="shared" si="13"/>
        <v>2175000</v>
      </c>
    </row>
    <row r="34" spans="1:36" x14ac:dyDescent="0.25">
      <c r="A34" s="18" t="s">
        <v>53</v>
      </c>
      <c r="B34" s="176">
        <f>B26*0.08</f>
        <v>104000</v>
      </c>
      <c r="C34" s="176">
        <f>C26*0.08</f>
        <v>100000</v>
      </c>
      <c r="D34" s="128">
        <v>0</v>
      </c>
      <c r="E34" s="76">
        <f t="shared" si="14"/>
        <v>-4000</v>
      </c>
      <c r="F34" s="176">
        <f>F26*0.08</f>
        <v>96000</v>
      </c>
      <c r="G34" s="128">
        <v>0</v>
      </c>
      <c r="H34" s="76"/>
      <c r="I34" s="176">
        <f>I26*0.08</f>
        <v>108000</v>
      </c>
      <c r="J34" s="74">
        <v>0</v>
      </c>
      <c r="K34" s="74"/>
      <c r="L34" s="176">
        <f>L26*0.08</f>
        <v>88000</v>
      </c>
      <c r="M34" s="74">
        <v>0</v>
      </c>
      <c r="N34" s="74"/>
      <c r="O34" s="176">
        <f>O26*0.08</f>
        <v>84000</v>
      </c>
      <c r="P34" s="74">
        <v>0</v>
      </c>
      <c r="Q34" s="74"/>
      <c r="R34" s="176">
        <f>R26*0.08</f>
        <v>104000</v>
      </c>
      <c r="S34" s="74">
        <v>0</v>
      </c>
      <c r="T34" s="74"/>
      <c r="U34" s="176">
        <f>U26*0.08</f>
        <v>96000</v>
      </c>
      <c r="V34" s="74">
        <v>0</v>
      </c>
      <c r="W34" s="74"/>
      <c r="X34" s="176">
        <f>X26*0.08</f>
        <v>108000</v>
      </c>
      <c r="Y34" s="74">
        <v>0</v>
      </c>
      <c r="Z34" s="74"/>
      <c r="AA34" s="176">
        <f>AA26*0.08</f>
        <v>88000</v>
      </c>
      <c r="AB34" s="152">
        <v>0</v>
      </c>
      <c r="AC34" s="152"/>
      <c r="AD34" s="176">
        <f>AD26*0.08</f>
        <v>84000</v>
      </c>
      <c r="AE34" s="152">
        <v>0</v>
      </c>
      <c r="AF34" s="82">
        <v>0</v>
      </c>
      <c r="AG34" s="176">
        <f>AG26*0.08</f>
        <v>104000</v>
      </c>
      <c r="AH34" s="83"/>
      <c r="AI34" s="83"/>
      <c r="AJ34" s="99">
        <f t="shared" si="13"/>
        <v>1160000</v>
      </c>
    </row>
    <row r="35" spans="1:36" x14ac:dyDescent="0.25">
      <c r="A35" s="18" t="s">
        <v>62</v>
      </c>
      <c r="B35" s="176">
        <f>B26*0.04</f>
        <v>52000</v>
      </c>
      <c r="C35" s="176">
        <f>C26*0.04</f>
        <v>50000</v>
      </c>
      <c r="D35" s="128">
        <v>0</v>
      </c>
      <c r="E35" s="76">
        <f t="shared" ref="E35:E38" si="23">C35-B35</f>
        <v>-2000</v>
      </c>
      <c r="F35" s="176">
        <f>F26*0.04</f>
        <v>48000</v>
      </c>
      <c r="G35" s="128">
        <v>0</v>
      </c>
      <c r="H35" s="76"/>
      <c r="I35" s="176">
        <f>I26*0.04</f>
        <v>54000</v>
      </c>
      <c r="J35" s="74"/>
      <c r="K35" s="74"/>
      <c r="L35" s="176">
        <f>L26*0.04</f>
        <v>44000</v>
      </c>
      <c r="M35" s="74"/>
      <c r="N35" s="74"/>
      <c r="O35" s="176">
        <f>O26*0.04</f>
        <v>42000</v>
      </c>
      <c r="P35" s="74"/>
      <c r="Q35" s="74"/>
      <c r="R35" s="176">
        <f>R26*0.04</f>
        <v>52000</v>
      </c>
      <c r="S35" s="74"/>
      <c r="T35" s="74"/>
      <c r="U35" s="176">
        <f>U26*0.04</f>
        <v>48000</v>
      </c>
      <c r="V35" s="74"/>
      <c r="W35" s="74"/>
      <c r="X35" s="176">
        <f>X26*0.04</f>
        <v>54000</v>
      </c>
      <c r="Y35" s="74"/>
      <c r="Z35" s="74"/>
      <c r="AA35" s="176">
        <f>AA26*0.04</f>
        <v>44000</v>
      </c>
      <c r="AB35" s="152"/>
      <c r="AC35" s="152"/>
      <c r="AD35" s="176">
        <f>AD26*0.04</f>
        <v>42000</v>
      </c>
      <c r="AE35" s="152"/>
      <c r="AF35" s="82"/>
      <c r="AG35" s="176">
        <f>AG26*0.04</f>
        <v>52000</v>
      </c>
      <c r="AH35" s="83"/>
      <c r="AI35" s="83"/>
      <c r="AJ35" s="99"/>
    </row>
    <row r="36" spans="1:36" x14ac:dyDescent="0.25">
      <c r="A36" s="18" t="s">
        <v>63</v>
      </c>
      <c r="B36" s="176">
        <f>B27*0.04</f>
        <v>17333.333333333332</v>
      </c>
      <c r="C36" s="176">
        <f>C27*0.04</f>
        <v>16666.666666666668</v>
      </c>
      <c r="D36" s="128">
        <v>0</v>
      </c>
      <c r="E36" s="76">
        <f t="shared" si="23"/>
        <v>-666.66666666666424</v>
      </c>
      <c r="F36" s="176">
        <f>F27*0.04</f>
        <v>16000</v>
      </c>
      <c r="G36" s="128">
        <v>0</v>
      </c>
      <c r="H36" s="76"/>
      <c r="I36" s="176">
        <f>I27*0.04</f>
        <v>18000</v>
      </c>
      <c r="J36" s="74"/>
      <c r="K36" s="74"/>
      <c r="L36" s="176">
        <f>L27*0.04</f>
        <v>14666.666666666668</v>
      </c>
      <c r="M36" s="74"/>
      <c r="N36" s="74"/>
      <c r="O36" s="176">
        <f>O27*0.04</f>
        <v>14000</v>
      </c>
      <c r="P36" s="74"/>
      <c r="Q36" s="74"/>
      <c r="R36" s="176">
        <f>R27*0.04</f>
        <v>17333.333333333332</v>
      </c>
      <c r="S36" s="74"/>
      <c r="T36" s="74"/>
      <c r="U36" s="176">
        <f>U27*0.04</f>
        <v>16000</v>
      </c>
      <c r="V36" s="74"/>
      <c r="W36" s="74"/>
      <c r="X36" s="176">
        <f>X27*0.04</f>
        <v>18000</v>
      </c>
      <c r="Y36" s="74"/>
      <c r="Z36" s="74"/>
      <c r="AA36" s="176">
        <f>AA27*0.04</f>
        <v>14666.666666666668</v>
      </c>
      <c r="AB36" s="152"/>
      <c r="AC36" s="152"/>
      <c r="AD36" s="176">
        <f>AD27*0.04</f>
        <v>14000</v>
      </c>
      <c r="AE36" s="152"/>
      <c r="AF36" s="82"/>
      <c r="AG36" s="176">
        <f>AG27*0.04</f>
        <v>17333.333333333332</v>
      </c>
      <c r="AH36" s="83"/>
      <c r="AI36" s="83"/>
      <c r="AJ36" s="99"/>
    </row>
    <row r="37" spans="1:36" x14ac:dyDescent="0.25">
      <c r="A37" s="18" t="s">
        <v>64</v>
      </c>
      <c r="B37" s="176">
        <f>B28*0.04</f>
        <v>7800</v>
      </c>
      <c r="C37" s="176">
        <f>C28*0.04</f>
        <v>7500</v>
      </c>
      <c r="D37" s="128">
        <v>0</v>
      </c>
      <c r="E37" s="76">
        <f t="shared" si="23"/>
        <v>-300</v>
      </c>
      <c r="F37" s="176">
        <f>F28*0.04</f>
        <v>7200</v>
      </c>
      <c r="G37" s="128">
        <v>0</v>
      </c>
      <c r="H37" s="76"/>
      <c r="I37" s="176">
        <f>I28*0.04</f>
        <v>8100</v>
      </c>
      <c r="J37" s="74"/>
      <c r="K37" s="74"/>
      <c r="L37" s="176">
        <f>L28*0.04</f>
        <v>6600</v>
      </c>
      <c r="M37" s="74"/>
      <c r="N37" s="74"/>
      <c r="O37" s="176">
        <f>O28*0.04</f>
        <v>6300</v>
      </c>
      <c r="P37" s="74"/>
      <c r="Q37" s="74"/>
      <c r="R37" s="176">
        <f>R28*0.04</f>
        <v>7800</v>
      </c>
      <c r="S37" s="74"/>
      <c r="T37" s="74"/>
      <c r="U37" s="176">
        <f>U28*0.04</f>
        <v>7200</v>
      </c>
      <c r="V37" s="74"/>
      <c r="W37" s="74"/>
      <c r="X37" s="176">
        <f>X28*0.04</f>
        <v>8100</v>
      </c>
      <c r="Y37" s="74"/>
      <c r="Z37" s="74"/>
      <c r="AA37" s="176">
        <f>AA28*0.04</f>
        <v>6600</v>
      </c>
      <c r="AB37" s="152"/>
      <c r="AC37" s="152"/>
      <c r="AD37" s="176">
        <f>AD28*0.04</f>
        <v>6300</v>
      </c>
      <c r="AE37" s="152"/>
      <c r="AF37" s="82"/>
      <c r="AG37" s="176">
        <f>AG28*0.04</f>
        <v>7800</v>
      </c>
      <c r="AH37" s="83"/>
      <c r="AI37" s="83"/>
      <c r="AJ37" s="99"/>
    </row>
    <row r="38" spans="1:36" x14ac:dyDescent="0.25">
      <c r="A38" s="18" t="s">
        <v>65</v>
      </c>
      <c r="B38" s="176">
        <f>B26*0.4</f>
        <v>520000</v>
      </c>
      <c r="C38" s="176">
        <f>C26*0.4</f>
        <v>500000</v>
      </c>
      <c r="D38" s="128">
        <v>0</v>
      </c>
      <c r="E38" s="76">
        <f t="shared" si="23"/>
        <v>-20000</v>
      </c>
      <c r="F38" s="176">
        <f>F26*0.4</f>
        <v>480000</v>
      </c>
      <c r="G38" s="128">
        <v>0</v>
      </c>
      <c r="H38" s="76"/>
      <c r="I38" s="176">
        <f>I26*0.4</f>
        <v>540000</v>
      </c>
      <c r="J38" s="74"/>
      <c r="K38" s="74"/>
      <c r="L38" s="176">
        <f>L26*0.4</f>
        <v>440000</v>
      </c>
      <c r="M38" s="74"/>
      <c r="N38" s="74"/>
      <c r="O38" s="176">
        <f>O26*0.4</f>
        <v>420000</v>
      </c>
      <c r="P38" s="74"/>
      <c r="Q38" s="74"/>
      <c r="R38" s="176">
        <f>R26*0.4</f>
        <v>520000</v>
      </c>
      <c r="S38" s="74"/>
      <c r="T38" s="74"/>
      <c r="U38" s="176">
        <f>U26*0.4</f>
        <v>480000</v>
      </c>
      <c r="V38" s="74"/>
      <c r="W38" s="74"/>
      <c r="X38" s="176">
        <f>X26*0.4</f>
        <v>540000</v>
      </c>
      <c r="Y38" s="74"/>
      <c r="Z38" s="74"/>
      <c r="AA38" s="176">
        <f>AA26*0.4</f>
        <v>440000</v>
      </c>
      <c r="AB38" s="152"/>
      <c r="AC38" s="152"/>
      <c r="AD38" s="176">
        <f>AD26*0.4</f>
        <v>420000</v>
      </c>
      <c r="AE38" s="152"/>
      <c r="AF38" s="82"/>
      <c r="AG38" s="176">
        <f>AG26*0.4</f>
        <v>520000</v>
      </c>
      <c r="AH38" s="83"/>
      <c r="AI38" s="83"/>
      <c r="AJ38" s="99"/>
    </row>
    <row r="39" spans="1:36" x14ac:dyDescent="0.25">
      <c r="A39" s="31" t="s">
        <v>55</v>
      </c>
      <c r="B39" s="32" t="s" vm="21">
        <v>17</v>
      </c>
      <c r="C39" s="32" t="s" vm="21">
        <v>17</v>
      </c>
      <c r="D39" s="32" t="s" vm="21">
        <v>17</v>
      </c>
      <c r="E39" s="32" t="s" vm="21">
        <v>17</v>
      </c>
      <c r="F39" s="32" t="s" vm="21">
        <v>17</v>
      </c>
      <c r="G39" s="32" t="s" vm="21">
        <v>17</v>
      </c>
      <c r="H39" s="32" t="s" vm="21">
        <v>17</v>
      </c>
      <c r="I39" s="32" t="s" vm="21">
        <v>17</v>
      </c>
      <c r="J39" s="32" t="s" vm="21">
        <v>17</v>
      </c>
      <c r="K39" s="32" t="s" vm="21">
        <v>17</v>
      </c>
      <c r="L39" s="32" t="s" vm="21">
        <v>17</v>
      </c>
      <c r="M39" s="32" t="s" vm="21">
        <v>17</v>
      </c>
      <c r="N39" s="32" t="s" vm="21">
        <v>17</v>
      </c>
      <c r="O39" s="32" t="s" vm="21">
        <v>17</v>
      </c>
      <c r="P39" s="32" t="s" vm="21">
        <v>17</v>
      </c>
      <c r="Q39" s="32" t="s" vm="21">
        <v>17</v>
      </c>
      <c r="R39" s="32" t="s" vm="21">
        <v>17</v>
      </c>
      <c r="S39" s="32" t="s" vm="21">
        <v>17</v>
      </c>
      <c r="T39" s="32" t="s" vm="21">
        <v>17</v>
      </c>
      <c r="U39" s="32" t="s" vm="21">
        <v>17</v>
      </c>
      <c r="V39" s="32" t="s" vm="21">
        <v>17</v>
      </c>
      <c r="W39" s="32" t="s" vm="21">
        <v>17</v>
      </c>
      <c r="X39" s="32" t="s" vm="21">
        <v>17</v>
      </c>
      <c r="Y39" s="32" t="s" vm="21">
        <v>17</v>
      </c>
      <c r="Z39" s="32" t="s" vm="21">
        <v>17</v>
      </c>
      <c r="AA39" s="32" t="s" vm="21">
        <v>17</v>
      </c>
      <c r="AB39" s="32" t="s" vm="21">
        <v>17</v>
      </c>
      <c r="AC39" s="32" t="s" vm="21">
        <v>17</v>
      </c>
      <c r="AD39" s="32" t="s" vm="21">
        <v>17</v>
      </c>
      <c r="AE39" s="32" t="s" vm="21">
        <v>17</v>
      </c>
      <c r="AF39" s="32" t="s" vm="21">
        <v>17</v>
      </c>
      <c r="AG39" s="32" t="s" vm="21">
        <v>17</v>
      </c>
      <c r="AH39" s="32" t="s" vm="21">
        <v>17</v>
      </c>
      <c r="AI39" s="32" t="s" vm="21">
        <v>17</v>
      </c>
      <c r="AJ39" s="32" t="s" vm="21">
        <v>17</v>
      </c>
    </row>
    <row r="40" spans="1:36" x14ac:dyDescent="0.25">
      <c r="A40" s="18" t="s">
        <v>56</v>
      </c>
      <c r="B40" s="176">
        <f>B27*0.99</f>
        <v>429000</v>
      </c>
      <c r="C40" s="176">
        <f>C27*0.99</f>
        <v>412500</v>
      </c>
      <c r="D40" s="128">
        <v>0</v>
      </c>
      <c r="E40" s="76">
        <f t="shared" si="14"/>
        <v>-16500</v>
      </c>
      <c r="F40" s="176">
        <f>F27*0.99</f>
        <v>396000</v>
      </c>
      <c r="G40" s="128">
        <f t="shared" si="15"/>
        <v>-4.0000000000000036E-2</v>
      </c>
      <c r="H40" s="76"/>
      <c r="I40" s="176">
        <f>I27*0.99</f>
        <v>445500</v>
      </c>
      <c r="J40" s="74">
        <f t="shared" si="16"/>
        <v>0.125</v>
      </c>
      <c r="K40" s="74"/>
      <c r="L40" s="176">
        <f>L27*0.99</f>
        <v>363000</v>
      </c>
      <c r="M40" s="74">
        <f t="shared" si="17"/>
        <v>-0.18518518518518523</v>
      </c>
      <c r="N40" s="74"/>
      <c r="O40" s="176">
        <f>O27*0.99</f>
        <v>346500</v>
      </c>
      <c r="P40" s="74">
        <f t="shared" si="18"/>
        <v>-4.5454545454545414E-2</v>
      </c>
      <c r="Q40" s="74"/>
      <c r="R40" s="176">
        <f>R27*0.99</f>
        <v>429000</v>
      </c>
      <c r="S40" s="74">
        <f t="shared" si="19"/>
        <v>0.23809523809523814</v>
      </c>
      <c r="T40" s="74"/>
      <c r="U40" s="176">
        <f>U27*0.99</f>
        <v>396000</v>
      </c>
      <c r="V40" s="74">
        <f t="shared" si="20"/>
        <v>-7.6923076923076872E-2</v>
      </c>
      <c r="W40" s="74"/>
      <c r="X40" s="176">
        <f>X27*0.99</f>
        <v>445500</v>
      </c>
      <c r="Y40" s="74"/>
      <c r="Z40" s="74"/>
      <c r="AA40" s="176">
        <f>AA27*0.99</f>
        <v>363000</v>
      </c>
      <c r="AB40" s="152"/>
      <c r="AC40" s="152"/>
      <c r="AD40" s="176">
        <f>AD27*0.99</f>
        <v>346500</v>
      </c>
      <c r="AE40" s="152"/>
      <c r="AF40" s="82">
        <v>0</v>
      </c>
      <c r="AG40" s="176">
        <f>AG27*0.99</f>
        <v>429000</v>
      </c>
      <c r="AH40" s="82"/>
      <c r="AI40" s="82"/>
      <c r="AJ40" s="99">
        <f t="shared" si="13"/>
        <v>4785000.0155324303</v>
      </c>
    </row>
    <row r="41" spans="1:36" x14ac:dyDescent="0.25">
      <c r="A41" s="18" t="s">
        <v>57</v>
      </c>
      <c r="B41" s="176">
        <f>B28*0.97</f>
        <v>189150</v>
      </c>
      <c r="C41" s="176">
        <f>C28*0.97</f>
        <v>181875</v>
      </c>
      <c r="D41" s="128">
        <v>0</v>
      </c>
      <c r="E41" s="76">
        <f t="shared" si="14"/>
        <v>-7275</v>
      </c>
      <c r="F41" s="176">
        <f>F28*0.97</f>
        <v>174600</v>
      </c>
      <c r="G41" s="128">
        <f t="shared" si="15"/>
        <v>-4.0000000000000036E-2</v>
      </c>
      <c r="H41" s="76"/>
      <c r="I41" s="176">
        <f>I28*0.97</f>
        <v>196425</v>
      </c>
      <c r="J41" s="74">
        <f t="shared" si="16"/>
        <v>0.125</v>
      </c>
      <c r="K41" s="74"/>
      <c r="L41" s="176">
        <f>L28*0.97</f>
        <v>160050</v>
      </c>
      <c r="M41" s="74">
        <f t="shared" si="17"/>
        <v>-0.18518518518518523</v>
      </c>
      <c r="N41" s="74"/>
      <c r="O41" s="176">
        <f>O28*0.97</f>
        <v>152775</v>
      </c>
      <c r="P41" s="74">
        <f t="shared" si="18"/>
        <v>-4.5454545454545414E-2</v>
      </c>
      <c r="Q41" s="74"/>
      <c r="R41" s="176">
        <f>R28*0.97</f>
        <v>189150</v>
      </c>
      <c r="S41" s="74">
        <f t="shared" si="19"/>
        <v>0.23809523809523814</v>
      </c>
      <c r="T41" s="74"/>
      <c r="U41" s="176">
        <f>U28*0.97</f>
        <v>174600</v>
      </c>
      <c r="V41" s="74">
        <f t="shared" si="20"/>
        <v>-7.6923076923076872E-2</v>
      </c>
      <c r="W41" s="74"/>
      <c r="X41" s="176">
        <f>X28*0.97</f>
        <v>196425</v>
      </c>
      <c r="Y41" s="74"/>
      <c r="Z41" s="74"/>
      <c r="AA41" s="176">
        <f>AA28*0.97</f>
        <v>160050</v>
      </c>
      <c r="AB41" s="152"/>
      <c r="AC41" s="152"/>
      <c r="AD41" s="176">
        <f>AD28*0.97</f>
        <v>152775</v>
      </c>
      <c r="AE41" s="152"/>
      <c r="AF41" s="82">
        <v>0</v>
      </c>
      <c r="AG41" s="176">
        <f>AG28*0.97</f>
        <v>189150</v>
      </c>
      <c r="AH41" s="82"/>
      <c r="AI41" s="82"/>
      <c r="AJ41" s="99">
        <f t="shared" si="13"/>
        <v>2109750.0155324303</v>
      </c>
    </row>
    <row r="42" spans="1:36" x14ac:dyDescent="0.25">
      <c r="A42" s="18" t="s">
        <v>60</v>
      </c>
      <c r="B42" s="176">
        <f>B26*0.5*0.3</f>
        <v>195000</v>
      </c>
      <c r="C42" s="176">
        <f>C26*0.5*0.3</f>
        <v>187500</v>
      </c>
      <c r="D42" s="128">
        <v>0</v>
      </c>
      <c r="E42" s="76">
        <f t="shared" si="14"/>
        <v>-7500</v>
      </c>
      <c r="F42" s="176">
        <f>F26*0.5*0.3</f>
        <v>180000</v>
      </c>
      <c r="G42" s="128">
        <f t="shared" si="15"/>
        <v>-4.0000000000000036E-2</v>
      </c>
      <c r="H42" s="76"/>
      <c r="I42" s="176">
        <f>I26*0.5*0.3</f>
        <v>202500</v>
      </c>
      <c r="J42" s="74">
        <f t="shared" si="16"/>
        <v>0.125</v>
      </c>
      <c r="K42" s="74"/>
      <c r="L42" s="176">
        <f>L26*0.5*0.3</f>
        <v>165000</v>
      </c>
      <c r="M42" s="74">
        <f t="shared" si="17"/>
        <v>-0.18518518518518523</v>
      </c>
      <c r="N42" s="74"/>
      <c r="O42" s="176">
        <f>O26*0.5*0.3</f>
        <v>157500</v>
      </c>
      <c r="P42" s="74">
        <f t="shared" si="18"/>
        <v>-4.5454545454545414E-2</v>
      </c>
      <c r="Q42" s="74"/>
      <c r="R42" s="176">
        <f>R26*0.5*0.3</f>
        <v>195000</v>
      </c>
      <c r="S42" s="74">
        <f t="shared" si="19"/>
        <v>0.23809523809523814</v>
      </c>
      <c r="T42" s="74"/>
      <c r="U42" s="176">
        <f>U26*0.5*0.3</f>
        <v>180000</v>
      </c>
      <c r="V42" s="74">
        <f t="shared" si="20"/>
        <v>-7.6923076923076872E-2</v>
      </c>
      <c r="W42" s="74"/>
      <c r="X42" s="176">
        <f>X26*0.5*0.3</f>
        <v>202500</v>
      </c>
      <c r="Y42" s="74"/>
      <c r="Z42" s="74"/>
      <c r="AA42" s="176">
        <f>AA26*0.5*0.3</f>
        <v>165000</v>
      </c>
      <c r="AB42" s="152"/>
      <c r="AC42" s="152"/>
      <c r="AD42" s="176">
        <f>AD26*0.5*0.3</f>
        <v>157500</v>
      </c>
      <c r="AE42" s="152"/>
      <c r="AF42" s="82">
        <v>0</v>
      </c>
      <c r="AG42" s="176">
        <f>AG26*0.5*0.3</f>
        <v>195000</v>
      </c>
      <c r="AH42" s="82"/>
      <c r="AI42" s="82"/>
      <c r="AJ42" s="99">
        <f t="shared" si="13"/>
        <v>2175000.0155324303</v>
      </c>
    </row>
    <row r="43" spans="1:36" x14ac:dyDescent="0.25">
      <c r="A43" s="18" t="s">
        <v>61</v>
      </c>
      <c r="B43" s="176">
        <f>B20*0.99</f>
        <v>594000</v>
      </c>
      <c r="C43" s="176">
        <f>C20*0.99</f>
        <v>445500</v>
      </c>
      <c r="D43" s="128">
        <v>0</v>
      </c>
      <c r="E43" s="76">
        <f t="shared" si="14"/>
        <v>-148500</v>
      </c>
      <c r="F43" s="176">
        <f>F20*0.99</f>
        <v>519750</v>
      </c>
      <c r="G43" s="128">
        <f t="shared" si="15"/>
        <v>0.16666666666666674</v>
      </c>
      <c r="H43" s="76"/>
      <c r="I43" s="176">
        <f>I20*0.99</f>
        <v>482625</v>
      </c>
      <c r="J43" s="74">
        <f t="shared" si="16"/>
        <v>-7.1428571428571397E-2</v>
      </c>
      <c r="K43" s="74"/>
      <c r="L43" s="176">
        <f>L20*0.99</f>
        <v>501187.5</v>
      </c>
      <c r="M43" s="74">
        <f t="shared" si="17"/>
        <v>3.8461538461538547E-2</v>
      </c>
      <c r="N43" s="74"/>
      <c r="O43" s="176">
        <f>O20*0.99</f>
        <v>491906.25</v>
      </c>
      <c r="P43" s="74">
        <f t="shared" si="18"/>
        <v>-1.851851851851849E-2</v>
      </c>
      <c r="Q43" s="74"/>
      <c r="R43" s="176">
        <f>R20*0.99</f>
        <v>496546.875</v>
      </c>
      <c r="S43" s="74">
        <f t="shared" si="19"/>
        <v>9.4339622641510523E-3</v>
      </c>
      <c r="T43" s="74"/>
      <c r="U43" s="176">
        <f>U20*0.99</f>
        <v>494226.5625</v>
      </c>
      <c r="V43" s="74">
        <f t="shared" si="20"/>
        <v>-4.6728971962616273E-3</v>
      </c>
      <c r="W43" s="74"/>
      <c r="X43" s="176">
        <f>X20*0.99</f>
        <v>495386.71875</v>
      </c>
      <c r="Y43" s="74"/>
      <c r="Z43" s="74"/>
      <c r="AA43" s="176">
        <f>AA20*0.99</f>
        <v>494806.640625</v>
      </c>
      <c r="AB43" s="152"/>
      <c r="AC43" s="152"/>
      <c r="AD43" s="176">
        <f>AD20*0.99</f>
        <v>495096.6796875</v>
      </c>
      <c r="AE43" s="152"/>
      <c r="AF43" s="82">
        <v>0</v>
      </c>
      <c r="AG43" s="176">
        <f>AG20*0.99</f>
        <v>494951.66015625</v>
      </c>
      <c r="AH43" s="82"/>
      <c r="AI43" s="82"/>
      <c r="AJ43" s="99">
        <f t="shared" si="13"/>
        <v>5857484.0066609308</v>
      </c>
    </row>
    <row r="44" spans="1:36" x14ac:dyDescent="0.25">
      <c r="A44" s="19" t="s">
        <v>29</v>
      </c>
      <c r="B44" s="20" t="s" vm="1">
        <v>17</v>
      </c>
      <c r="C44" s="20" t="s" vm="2">
        <v>17</v>
      </c>
      <c r="D44" s="20"/>
      <c r="E44" s="115"/>
      <c r="F44" s="20"/>
      <c r="G44" s="20"/>
      <c r="H44" s="115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159"/>
      <c r="AC44" s="159"/>
      <c r="AD44" s="20"/>
      <c r="AE44" s="159"/>
      <c r="AF44" s="159"/>
      <c r="AG44" s="20"/>
      <c r="AH44" s="20"/>
      <c r="AI44" s="20"/>
      <c r="AJ44" s="87"/>
    </row>
    <row r="45" spans="1:36" x14ac:dyDescent="0.25">
      <c r="A45" s="21" t="s">
        <v>30</v>
      </c>
      <c r="B45" s="22" t="s" vm="3">
        <v>17</v>
      </c>
      <c r="C45" s="22" t="s" vm="4">
        <v>17</v>
      </c>
      <c r="D45" s="22"/>
      <c r="E45" s="116"/>
      <c r="F45" s="22"/>
      <c r="G45" s="22"/>
      <c r="H45" s="116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160"/>
      <c r="AC45" s="160"/>
      <c r="AD45" s="22"/>
      <c r="AE45" s="160"/>
      <c r="AF45" s="160"/>
      <c r="AG45" s="22"/>
      <c r="AH45" s="22"/>
      <c r="AI45" s="22"/>
      <c r="AJ45" s="88"/>
    </row>
    <row r="46" spans="1:36" x14ac:dyDescent="0.25">
      <c r="A46" s="39" t="s">
        <v>31</v>
      </c>
      <c r="B46" s="48">
        <v>50000</v>
      </c>
      <c r="C46" s="37">
        <f>AVERAGE(B46:B47)</f>
        <v>42500</v>
      </c>
      <c r="D46" s="128">
        <f t="shared" ref="D46:D52" si="24">(C46/B46)-1</f>
        <v>-0.15000000000000002</v>
      </c>
      <c r="E46" s="76">
        <f>C46-B46</f>
        <v>-7500</v>
      </c>
      <c r="F46" s="37">
        <f>AVERAGE(B46:C47)</f>
        <v>41562.5</v>
      </c>
      <c r="G46" s="128">
        <f>(F46/C46)-1</f>
        <v>-2.2058823529411797E-2</v>
      </c>
      <c r="H46" s="76">
        <f>F46-C46</f>
        <v>-937.5</v>
      </c>
      <c r="I46" s="37">
        <f>AVERAGE(B46:C47,F46:F47)</f>
        <v>41406.25</v>
      </c>
      <c r="J46" s="74">
        <f>(I46/F46)-1</f>
        <v>-3.7593984962406291E-3</v>
      </c>
      <c r="K46" s="74"/>
      <c r="L46" s="37">
        <f>AVERAGE(F46:F47,I46:I47)</f>
        <v>40429.6875</v>
      </c>
      <c r="M46" s="74">
        <f>(L46/I46)-1</f>
        <v>-2.3584905660377409E-2</v>
      </c>
      <c r="N46" s="74"/>
      <c r="O46" s="37">
        <f>AVERAGE(I46:I47,L46:L47)</f>
        <v>39833.984375</v>
      </c>
      <c r="P46" s="74">
        <f>(O46/L46)-1</f>
        <v>-1.4734299516908189E-2</v>
      </c>
      <c r="Q46" s="74"/>
      <c r="R46" s="37">
        <f>AVERAGE(L46:L47,O46:O47)</f>
        <v>39597.16796875</v>
      </c>
      <c r="S46" s="74">
        <f>(R46/O46)-1</f>
        <v>-5.9450845795537832E-3</v>
      </c>
      <c r="T46" s="74"/>
      <c r="U46" s="37">
        <f>AVERAGE(O46:O47,R46:R47)</f>
        <v>39310.9130859375</v>
      </c>
      <c r="V46" s="74">
        <f>(U46/R46)-1</f>
        <v>-7.2291756581787103E-3</v>
      </c>
      <c r="W46" s="74"/>
      <c r="X46" s="37">
        <f>AVERAGE(R46:R47,U46:U47)</f>
        <v>39219.207763671875</v>
      </c>
      <c r="Y46" s="74">
        <f>(X46/U46)-1</f>
        <v>-2.3328209666650945E-3</v>
      </c>
      <c r="Z46" s="74"/>
      <c r="AA46" s="37">
        <f>AVERAGE(U46:U47,X46:X47)</f>
        <v>39105.186462402344</v>
      </c>
      <c r="AB46" s="152">
        <f t="shared" ref="AB46:AB52" si="25">(AA46/X46)-1</f>
        <v>-2.907282114330445E-3</v>
      </c>
      <c r="AC46" s="152"/>
      <c r="AD46" s="37">
        <f>AVERAGE(X46:X47,AA46:AA47)</f>
        <v>39063.520431518555</v>
      </c>
      <c r="AE46" s="152"/>
      <c r="AF46" s="152"/>
      <c r="AG46" s="37">
        <f>AVERAGE(AA46:AA47,AD46:AD47)</f>
        <v>39019.715785980225</v>
      </c>
      <c r="AH46" s="74"/>
      <c r="AI46" s="74"/>
      <c r="AJ46" s="89">
        <f>SUM(B46,C46,F46,I46,L46,O46,R46,U46,X46,AA46,AD46,AG46)</f>
        <v>491048.1333732605</v>
      </c>
    </row>
    <row r="47" spans="1:36" x14ac:dyDescent="0.25">
      <c r="A47" s="39" t="s">
        <v>32</v>
      </c>
      <c r="B47" s="48">
        <v>35000</v>
      </c>
      <c r="C47" s="48">
        <f>AVERAGE(C46,B47)</f>
        <v>38750</v>
      </c>
      <c r="D47" s="128">
        <v>0</v>
      </c>
      <c r="E47" s="76">
        <f>C47-B47</f>
        <v>3750</v>
      </c>
      <c r="F47" s="37">
        <f>AVERAGE(C46:C47)</f>
        <v>40625</v>
      </c>
      <c r="G47" s="128">
        <v>0</v>
      </c>
      <c r="H47" s="76">
        <f>F47-C47</f>
        <v>1875</v>
      </c>
      <c r="I47" s="37">
        <f>AVERAGE(B47:C47,F47)</f>
        <v>38125</v>
      </c>
      <c r="J47" s="74">
        <v>0</v>
      </c>
      <c r="K47" s="74"/>
      <c r="L47" s="37">
        <f>AVERAGE(F47,I47)</f>
        <v>39375</v>
      </c>
      <c r="M47" s="74">
        <v>0</v>
      </c>
      <c r="N47" s="74"/>
      <c r="O47" s="37">
        <f>AVERAGE(I47,L47)</f>
        <v>38750</v>
      </c>
      <c r="P47" s="74">
        <v>0</v>
      </c>
      <c r="Q47" s="74"/>
      <c r="R47" s="37">
        <f>AVERAGE(L47,O47)</f>
        <v>39062.5</v>
      </c>
      <c r="S47" s="74">
        <v>0</v>
      </c>
      <c r="T47" s="74"/>
      <c r="U47" s="37">
        <f>AVERAGE(O47,R47)</f>
        <v>38906.25</v>
      </c>
      <c r="V47" s="74">
        <v>0</v>
      </c>
      <c r="W47" s="74"/>
      <c r="X47" s="37">
        <f>AVERAGE(R47,U47)</f>
        <v>38984.375</v>
      </c>
      <c r="Y47" s="74">
        <v>0</v>
      </c>
      <c r="Z47" s="74"/>
      <c r="AA47" s="37">
        <f>AVERAGE(U47,X47)</f>
        <v>38945.3125</v>
      </c>
      <c r="AB47" s="152">
        <v>0</v>
      </c>
      <c r="AC47" s="152"/>
      <c r="AD47" s="37">
        <f>AVERAGE(X47,AA47)</f>
        <v>38964.84375</v>
      </c>
      <c r="AE47" s="152"/>
      <c r="AF47" s="152"/>
      <c r="AG47" s="37">
        <f>AVERAGE(AA47,AD47)</f>
        <v>38955.078125</v>
      </c>
      <c r="AH47" s="74"/>
      <c r="AI47" s="74"/>
      <c r="AJ47" s="89">
        <f>SUM(B47:AG47)</f>
        <v>470068.359375</v>
      </c>
    </row>
    <row r="48" spans="1:36" x14ac:dyDescent="0.25">
      <c r="A48" s="23" t="s">
        <v>33</v>
      </c>
      <c r="B48" s="46"/>
      <c r="C48" s="46"/>
      <c r="D48" s="46"/>
      <c r="E48" s="117"/>
      <c r="F48" s="46"/>
      <c r="G48" s="46"/>
      <c r="H48" s="117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104"/>
      <c r="Y48" s="46"/>
      <c r="Z48" s="46"/>
      <c r="AA48" s="105"/>
      <c r="AB48" s="161"/>
      <c r="AC48" s="161"/>
      <c r="AD48" s="24"/>
      <c r="AE48" s="161"/>
      <c r="AF48" s="161"/>
      <c r="AG48" s="24"/>
      <c r="AH48" s="46"/>
      <c r="AI48" s="46"/>
      <c r="AJ48" s="90"/>
    </row>
    <row r="49" spans="1:36" x14ac:dyDescent="0.25">
      <c r="A49" s="40" t="s">
        <v>73</v>
      </c>
      <c r="B49" s="197">
        <f>SUM(B46:B47)*0.7</f>
        <v>59499.999999999993</v>
      </c>
      <c r="C49" s="197">
        <f>SUM(C46:C47)*0.7</f>
        <v>56875</v>
      </c>
      <c r="D49" s="128">
        <f t="shared" si="24"/>
        <v>-4.4117647058823373E-2</v>
      </c>
      <c r="E49" s="76">
        <f>C49-B49</f>
        <v>-2624.9999999999927</v>
      </c>
      <c r="F49" s="197">
        <f>SUM(F46:F47)*0.7</f>
        <v>57531.249999999993</v>
      </c>
      <c r="G49" s="166">
        <f t="shared" ref="G49:G52" si="26">(F49/C49)-1</f>
        <v>1.1538461538461497E-2</v>
      </c>
      <c r="H49" s="167">
        <f>F49-C49</f>
        <v>656.24999999999272</v>
      </c>
      <c r="I49" s="197">
        <f>SUM(I46:I47)*0.7</f>
        <v>55671.875</v>
      </c>
      <c r="J49" s="168">
        <f>(I49/F49)-1</f>
        <v>-3.2319391634980876E-2</v>
      </c>
      <c r="K49" s="168"/>
      <c r="L49" s="197">
        <f>SUM(L46:L47)*0.7</f>
        <v>55863.28125</v>
      </c>
      <c r="M49" s="168">
        <f>(L49/I49)-1</f>
        <v>3.4381139489194634E-3</v>
      </c>
      <c r="N49" s="168"/>
      <c r="O49" s="197">
        <f>SUM(O46:O47)*0.7</f>
        <v>55008.7890625</v>
      </c>
      <c r="P49" s="168">
        <f>(O49/L49)-1</f>
        <v>-1.5296133137542856E-2</v>
      </c>
      <c r="Q49" s="168"/>
      <c r="R49" s="197">
        <f>SUM(R46:R47)*0.7</f>
        <v>55061.767578125</v>
      </c>
      <c r="S49" s="168">
        <f>(R49/O49)-1</f>
        <v>9.6309183546661181E-4</v>
      </c>
      <c r="T49" s="168"/>
      <c r="U49" s="197">
        <f>SUM(U46:U47)*0.7</f>
        <v>54752.01416015625</v>
      </c>
      <c r="V49" s="168">
        <f>(U49/R49)-1</f>
        <v>-5.625562556255681E-3</v>
      </c>
      <c r="W49" s="168"/>
      <c r="X49" s="197">
        <f>SUM(X46:X47)*0.7</f>
        <v>54742.507934570313</v>
      </c>
      <c r="Y49" s="168">
        <f>(X49/U49)-1</f>
        <v>-1.7362330375880752E-4</v>
      </c>
      <c r="Z49" s="168"/>
      <c r="AA49" s="197">
        <f>SUM(AA46:AA47)*0.7</f>
        <v>54635.349273681641</v>
      </c>
      <c r="AB49" s="169">
        <f t="shared" si="25"/>
        <v>-1.9575036828189951E-3</v>
      </c>
      <c r="AC49" s="169"/>
      <c r="AD49" s="197">
        <f>SUM(AD46:AD47)*0.7</f>
        <v>54619.854927062988</v>
      </c>
      <c r="AE49" s="169"/>
      <c r="AF49" s="169"/>
      <c r="AG49" s="197">
        <f>SUM(AG46:AG47)*0.7</f>
        <v>54582.355737686157</v>
      </c>
      <c r="AH49" s="74"/>
      <c r="AI49" s="74"/>
      <c r="AJ49" s="89">
        <f>SUM(B49:AG49)</f>
        <v>666875.21137358819</v>
      </c>
    </row>
    <row r="50" spans="1:36" x14ac:dyDescent="0.25">
      <c r="A50" s="18" t="s">
        <v>74</v>
      </c>
      <c r="B50" s="198">
        <f>SUM(B46:B47)-B49</f>
        <v>25500.000000000007</v>
      </c>
      <c r="C50" s="198">
        <f>SUM(C46:C47)-C49</f>
        <v>24375</v>
      </c>
      <c r="D50" s="55">
        <f t="shared" si="24"/>
        <v>-4.4117647058823817E-2</v>
      </c>
      <c r="E50" s="118"/>
      <c r="F50" s="198">
        <f>SUM(F46:F47)-F49</f>
        <v>24656.250000000007</v>
      </c>
      <c r="G50" s="55">
        <f t="shared" si="26"/>
        <v>1.1538461538461942E-2</v>
      </c>
      <c r="H50" s="118"/>
      <c r="I50" s="198">
        <f>SUM(I46:I47)-I49</f>
        <v>23859.375</v>
      </c>
      <c r="J50" s="74">
        <f>(I50/F50)-1</f>
        <v>-3.231939163498132E-2</v>
      </c>
      <c r="K50" s="74"/>
      <c r="L50" s="198">
        <f>SUM(L46:L47)-L49</f>
        <v>23941.40625</v>
      </c>
      <c r="M50" s="74">
        <f>(L50/I50)-1</f>
        <v>3.4381139489194634E-3</v>
      </c>
      <c r="N50" s="74"/>
      <c r="O50" s="198">
        <f>SUM(O46:O47)-O49</f>
        <v>23575.1953125</v>
      </c>
      <c r="P50" s="74">
        <f>(O50/L50)-1</f>
        <v>-1.5296133137542856E-2</v>
      </c>
      <c r="Q50" s="74"/>
      <c r="R50" s="198">
        <f>SUM(R46:R47)-R49</f>
        <v>23597.900390625</v>
      </c>
      <c r="S50" s="74">
        <f>(R50/O50)-1</f>
        <v>9.6309183546661181E-4</v>
      </c>
      <c r="T50" s="74"/>
      <c r="U50" s="198">
        <f>SUM(U46:U47)-U49</f>
        <v>23465.14892578125</v>
      </c>
      <c r="V50" s="74">
        <f>(U50/R50)-1</f>
        <v>-5.625562556255681E-3</v>
      </c>
      <c r="W50" s="74"/>
      <c r="X50" s="198">
        <f>SUM(X46:X47)-X49</f>
        <v>23461.074829101563</v>
      </c>
      <c r="Y50" s="74">
        <f>(X50/U50)-1</f>
        <v>-1.7362330375880752E-4</v>
      </c>
      <c r="Z50" s="74"/>
      <c r="AA50" s="198">
        <f>SUM(AA46:AA47)-AA49</f>
        <v>23415.149688720703</v>
      </c>
      <c r="AB50" s="152">
        <f t="shared" si="25"/>
        <v>-1.9575036828189951E-3</v>
      </c>
      <c r="AC50" s="152"/>
      <c r="AD50" s="198">
        <f>SUM(AD46:AD47)-AD49</f>
        <v>23408.509254455566</v>
      </c>
      <c r="AE50" s="162"/>
      <c r="AF50" s="162"/>
      <c r="AG50" s="198">
        <f>SUM(AG46:AG47)-AG49</f>
        <v>23392.438173294067</v>
      </c>
      <c r="AH50" s="55"/>
      <c r="AI50" s="55"/>
      <c r="AJ50" s="91">
        <f>SUM(B50:AG50)</f>
        <v>286647.3642742841</v>
      </c>
    </row>
    <row r="51" spans="1:36" x14ac:dyDescent="0.25">
      <c r="A51" s="23" t="s">
        <v>75</v>
      </c>
      <c r="B51" s="38"/>
      <c r="C51" s="38"/>
      <c r="D51" s="38"/>
      <c r="E51" s="119"/>
      <c r="F51" s="38"/>
      <c r="G51" s="38"/>
      <c r="H51" s="119"/>
      <c r="I51" s="38"/>
      <c r="J51" s="38"/>
      <c r="K51" s="38"/>
      <c r="L51" s="34"/>
      <c r="M51" s="24"/>
      <c r="N51" s="24"/>
      <c r="O51" s="34"/>
      <c r="P51" s="34"/>
      <c r="Q51" s="34"/>
      <c r="R51" s="34"/>
      <c r="S51" s="34"/>
      <c r="T51" s="34"/>
      <c r="U51" s="34"/>
      <c r="V51" s="24"/>
      <c r="W51" s="24"/>
      <c r="X51" s="34"/>
      <c r="Y51" s="46"/>
      <c r="Z51" s="46"/>
      <c r="AA51" s="34"/>
      <c r="AB51" s="161"/>
      <c r="AC51" s="161"/>
      <c r="AD51" s="34"/>
      <c r="AE51" s="163"/>
      <c r="AF51" s="163"/>
      <c r="AG51" s="34"/>
      <c r="AH51" s="38"/>
      <c r="AI51" s="38"/>
      <c r="AJ51" s="92"/>
    </row>
    <row r="52" spans="1:36" x14ac:dyDescent="0.25">
      <c r="A52" s="18" t="s">
        <v>76</v>
      </c>
      <c r="B52" s="199">
        <f>SUM(B46:B47)*0.43</f>
        <v>36550</v>
      </c>
      <c r="C52" s="199">
        <f>SUM(C49:C50)*0.3</f>
        <v>24375</v>
      </c>
      <c r="D52" s="128">
        <f t="shared" si="24"/>
        <v>-0.33310533515731877</v>
      </c>
      <c r="E52" s="76">
        <f>C52-B52</f>
        <v>-12175</v>
      </c>
      <c r="F52" s="199">
        <f>SUM(F49:F50)*0.3</f>
        <v>24656.25</v>
      </c>
      <c r="G52" s="128">
        <f t="shared" si="26"/>
        <v>1.1538461538461497E-2</v>
      </c>
      <c r="H52" s="76">
        <f>F52-C52</f>
        <v>281.25</v>
      </c>
      <c r="I52" s="199">
        <f>SUM(I49:I50)*0.3</f>
        <v>23859.375</v>
      </c>
      <c r="J52" s="74">
        <f>(I52/F52)-1</f>
        <v>-3.2319391634980987E-2</v>
      </c>
      <c r="K52" s="74"/>
      <c r="L52" s="199">
        <f>SUM(L49:L50)*0.3</f>
        <v>23941.40625</v>
      </c>
      <c r="M52" s="74">
        <f>(L52/I52)-1</f>
        <v>3.4381139489194634E-3</v>
      </c>
      <c r="N52" s="74"/>
      <c r="O52" s="199">
        <f>SUM(O49:O50)*0.3</f>
        <v>23575.1953125</v>
      </c>
      <c r="P52" s="74">
        <f>(O52/L52)-1</f>
        <v>-1.5296133137542856E-2</v>
      </c>
      <c r="Q52" s="74"/>
      <c r="R52" s="199">
        <f>SUM(R49:R50)*0.3</f>
        <v>23597.900390625</v>
      </c>
      <c r="S52" s="74">
        <f>(R52/O52)-1</f>
        <v>9.6309183546661181E-4</v>
      </c>
      <c r="T52" s="74"/>
      <c r="U52" s="199">
        <f>SUM(U49:U50)*0.3</f>
        <v>23465.14892578125</v>
      </c>
      <c r="V52" s="74">
        <f>(U52/R52)-1</f>
        <v>-5.625562556255681E-3</v>
      </c>
      <c r="W52" s="74"/>
      <c r="X52" s="199">
        <f>SUM(X49:X50)*0.3</f>
        <v>23461.074829101563</v>
      </c>
      <c r="Y52" s="74">
        <f>(X52/U52)-1</f>
        <v>-1.7362330375880752E-4</v>
      </c>
      <c r="Z52" s="74"/>
      <c r="AA52" s="199">
        <f>SUM(AA49:AA50)*0.3</f>
        <v>23415.149688720703</v>
      </c>
      <c r="AB52" s="152">
        <f t="shared" si="25"/>
        <v>-1.9575036828189951E-3</v>
      </c>
      <c r="AC52" s="152"/>
      <c r="AD52" s="199">
        <f>SUM(AD49:AD50)*0.3</f>
        <v>23408.509254455566</v>
      </c>
      <c r="AE52" s="152"/>
      <c r="AF52" s="152"/>
      <c r="AG52" s="199">
        <f>SUM(AG49:AG50)*0.3</f>
        <v>23392.438173294067</v>
      </c>
      <c r="AH52" s="74"/>
      <c r="AI52" s="74"/>
      <c r="AJ52" s="164">
        <f>SUM(AD52,AA52,X52,U52,R52,O52,L52,I52,F52,B52,C52)</f>
        <v>274305.00965118408</v>
      </c>
    </row>
    <row r="53" spans="1:36" x14ac:dyDescent="0.25">
      <c r="A53" s="25" t="s">
        <v>67</v>
      </c>
      <c r="B53" s="26" t="s" vm="5">
        <v>17</v>
      </c>
      <c r="C53" s="26" t="s" vm="6">
        <v>17</v>
      </c>
      <c r="D53" s="57"/>
      <c r="E53" s="120"/>
      <c r="F53" s="26"/>
      <c r="G53" s="57"/>
      <c r="H53" s="120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57"/>
      <c r="Z53" s="57"/>
      <c r="AA53" s="26"/>
      <c r="AB53" s="57"/>
      <c r="AC53" s="57"/>
      <c r="AD53" s="26"/>
      <c r="AE53" s="57"/>
      <c r="AF53" s="57"/>
      <c r="AG53" s="26"/>
      <c r="AH53" s="57"/>
      <c r="AI53" s="57"/>
      <c r="AJ53" s="93"/>
    </row>
    <row r="54" spans="1:36" x14ac:dyDescent="0.25">
      <c r="A54" s="27" t="s">
        <v>13</v>
      </c>
      <c r="B54" s="28" t="s" vm="7">
        <v>17</v>
      </c>
      <c r="C54" s="28" t="s" vm="8">
        <v>17</v>
      </c>
      <c r="D54" s="58"/>
      <c r="E54" s="121"/>
      <c r="F54" s="28"/>
      <c r="G54" s="58"/>
      <c r="H54" s="121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58"/>
      <c r="Z54" s="58"/>
      <c r="AA54" s="28"/>
      <c r="AB54" s="58"/>
      <c r="AC54" s="58"/>
      <c r="AD54" s="28"/>
      <c r="AE54" s="58"/>
      <c r="AF54" s="58"/>
      <c r="AG54" s="28"/>
      <c r="AH54" s="58"/>
      <c r="AI54" s="58"/>
      <c r="AJ54" s="94"/>
    </row>
    <row r="55" spans="1:36" x14ac:dyDescent="0.25">
      <c r="A55" s="31" t="s">
        <v>36</v>
      </c>
      <c r="B55" s="32" t="s" vm="9">
        <v>17</v>
      </c>
      <c r="C55" s="32" t="s" vm="10">
        <v>17</v>
      </c>
      <c r="D55" s="60"/>
      <c r="E55" s="122"/>
      <c r="F55" s="32"/>
      <c r="G55" s="60"/>
      <c r="H55" s="122"/>
      <c r="I55" s="32"/>
      <c r="J55" s="74"/>
      <c r="K55" s="74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60"/>
      <c r="Z55" s="60"/>
      <c r="AA55" s="32"/>
      <c r="AB55" s="60"/>
      <c r="AC55" s="60"/>
      <c r="AD55" s="32"/>
      <c r="AE55" s="60"/>
      <c r="AF55" s="60"/>
      <c r="AG55" s="32"/>
      <c r="AH55" s="60"/>
      <c r="AI55" s="60"/>
      <c r="AJ55" s="96"/>
    </row>
    <row r="56" spans="1:36" x14ac:dyDescent="0.25">
      <c r="A56" s="18" t="s">
        <v>77</v>
      </c>
      <c r="B56" s="48">
        <v>0</v>
      </c>
      <c r="C56" s="48">
        <v>0</v>
      </c>
      <c r="D56" s="128">
        <v>0</v>
      </c>
      <c r="E56" s="76" t="s">
        <v>18</v>
      </c>
      <c r="F56" s="33">
        <v>0</v>
      </c>
      <c r="G56" s="128">
        <v>0</v>
      </c>
      <c r="H56" s="76">
        <f>F56-C56</f>
        <v>0</v>
      </c>
      <c r="I56" s="48">
        <v>0</v>
      </c>
      <c r="J56" s="74">
        <v>0</v>
      </c>
      <c r="K56" s="74"/>
      <c r="L56" s="48">
        <v>0</v>
      </c>
      <c r="M56" s="74">
        <v>0</v>
      </c>
      <c r="N56" s="74"/>
      <c r="O56" s="48">
        <v>0</v>
      </c>
      <c r="P56" s="74">
        <v>0</v>
      </c>
      <c r="Q56" s="74"/>
      <c r="R56" s="48">
        <v>0</v>
      </c>
      <c r="S56" s="74">
        <v>0</v>
      </c>
      <c r="T56" s="74"/>
      <c r="U56" s="48">
        <v>0</v>
      </c>
      <c r="V56" s="74">
        <v>0</v>
      </c>
      <c r="W56" s="74"/>
      <c r="X56" s="48">
        <v>0</v>
      </c>
      <c r="Y56" s="74">
        <v>0</v>
      </c>
      <c r="Z56" s="74"/>
      <c r="AA56" s="48">
        <v>0</v>
      </c>
      <c r="AB56" s="152">
        <v>0</v>
      </c>
      <c r="AC56" s="152"/>
      <c r="AD56" s="48">
        <v>0</v>
      </c>
      <c r="AE56" s="82"/>
      <c r="AF56" s="82"/>
      <c r="AG56" s="48">
        <v>0</v>
      </c>
      <c r="AH56" s="75"/>
      <c r="AI56" s="75"/>
      <c r="AJ56" s="86">
        <f>SUM(B56:AG56)</f>
        <v>0</v>
      </c>
    </row>
    <row r="57" spans="1:36" x14ac:dyDescent="0.25">
      <c r="A57" s="31" t="s">
        <v>37</v>
      </c>
      <c r="B57" s="31"/>
      <c r="C57" s="31"/>
      <c r="D57" s="102"/>
      <c r="E57" s="123"/>
      <c r="F57" s="31"/>
      <c r="G57" s="102"/>
      <c r="H57" s="123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  <c r="AA57" s="31"/>
      <c r="AB57" s="158"/>
      <c r="AC57" s="158"/>
      <c r="AD57" s="31"/>
      <c r="AE57" s="158"/>
      <c r="AF57" s="158"/>
      <c r="AG57" s="31"/>
      <c r="AH57" s="31"/>
      <c r="AI57" s="32"/>
      <c r="AJ57" s="97"/>
    </row>
    <row r="58" spans="1:36" x14ac:dyDescent="0.25">
      <c r="A58" s="18" t="s">
        <v>83</v>
      </c>
      <c r="B58" s="48">
        <v>0</v>
      </c>
      <c r="C58" s="48">
        <v>0</v>
      </c>
      <c r="D58" s="128">
        <v>0</v>
      </c>
      <c r="E58" s="76" t="s">
        <v>18</v>
      </c>
      <c r="F58" s="33">
        <v>0</v>
      </c>
      <c r="G58" s="128">
        <v>0</v>
      </c>
      <c r="H58" s="76">
        <f>F58-C58</f>
        <v>0</v>
      </c>
      <c r="I58" s="33">
        <v>0</v>
      </c>
      <c r="J58" s="74">
        <v>0</v>
      </c>
      <c r="K58" s="74"/>
      <c r="L58" s="33">
        <v>0</v>
      </c>
      <c r="M58" s="74">
        <v>0</v>
      </c>
      <c r="N58" s="74"/>
      <c r="O58" s="33">
        <v>0</v>
      </c>
      <c r="P58" s="74">
        <v>0</v>
      </c>
      <c r="Q58" s="74"/>
      <c r="R58" s="33">
        <v>0</v>
      </c>
      <c r="S58" s="74">
        <v>0</v>
      </c>
      <c r="T58" s="74"/>
      <c r="U58" s="33">
        <v>0</v>
      </c>
      <c r="V58" s="74">
        <v>0</v>
      </c>
      <c r="W58" s="74"/>
      <c r="X58" s="33">
        <v>0</v>
      </c>
      <c r="Y58" s="74">
        <v>0</v>
      </c>
      <c r="Z58" s="74"/>
      <c r="AA58" s="33">
        <v>0</v>
      </c>
      <c r="AB58" s="152">
        <v>0</v>
      </c>
      <c r="AC58" s="152"/>
      <c r="AD58" s="33">
        <v>0</v>
      </c>
      <c r="AE58" s="82"/>
      <c r="AF58" s="82"/>
      <c r="AG58" s="33">
        <v>0</v>
      </c>
      <c r="AH58" s="75"/>
      <c r="AI58" s="75"/>
      <c r="AJ58" s="86">
        <f t="shared" ref="AJ58:AJ61" si="27">SUM(B58:AG58)</f>
        <v>0</v>
      </c>
    </row>
    <row r="59" spans="1:36" x14ac:dyDescent="0.25">
      <c r="A59" s="18" t="s">
        <v>84</v>
      </c>
      <c r="B59" s="48">
        <v>0</v>
      </c>
      <c r="C59" s="48">
        <v>0</v>
      </c>
      <c r="D59" s="128">
        <v>0</v>
      </c>
      <c r="E59" s="76" t="s">
        <v>18</v>
      </c>
      <c r="F59" s="33">
        <v>0</v>
      </c>
      <c r="G59" s="128">
        <v>0</v>
      </c>
      <c r="H59" s="76">
        <f t="shared" ref="H59:H61" si="28">F59-C59</f>
        <v>0</v>
      </c>
      <c r="I59" s="33">
        <v>0</v>
      </c>
      <c r="J59" s="74">
        <v>0</v>
      </c>
      <c r="K59" s="74"/>
      <c r="L59" s="33">
        <v>0</v>
      </c>
      <c r="M59" s="74">
        <v>0</v>
      </c>
      <c r="N59" s="74"/>
      <c r="O59" s="33">
        <v>0</v>
      </c>
      <c r="P59" s="74">
        <v>0</v>
      </c>
      <c r="Q59" s="74"/>
      <c r="R59" s="33">
        <v>0</v>
      </c>
      <c r="S59" s="74">
        <v>0</v>
      </c>
      <c r="T59" s="74"/>
      <c r="U59" s="33">
        <v>0</v>
      </c>
      <c r="V59" s="74">
        <v>0</v>
      </c>
      <c r="W59" s="74"/>
      <c r="X59" s="33">
        <v>0</v>
      </c>
      <c r="Y59" s="74">
        <v>0</v>
      </c>
      <c r="Z59" s="74"/>
      <c r="AA59" s="33">
        <v>0</v>
      </c>
      <c r="AB59" s="152">
        <v>0</v>
      </c>
      <c r="AC59" s="152"/>
      <c r="AD59" s="33">
        <v>0</v>
      </c>
      <c r="AE59" s="82"/>
      <c r="AF59" s="82"/>
      <c r="AG59" s="33">
        <v>0</v>
      </c>
      <c r="AH59" s="75"/>
      <c r="AI59" s="75"/>
      <c r="AJ59" s="86">
        <f t="shared" si="27"/>
        <v>0</v>
      </c>
    </row>
    <row r="60" spans="1:36" x14ac:dyDescent="0.25">
      <c r="A60" s="18" t="s">
        <v>85</v>
      </c>
      <c r="B60" s="48">
        <v>0</v>
      </c>
      <c r="C60" s="48">
        <v>0</v>
      </c>
      <c r="D60" s="128">
        <v>0</v>
      </c>
      <c r="E60" s="76" t="s">
        <v>18</v>
      </c>
      <c r="F60" s="33">
        <v>0</v>
      </c>
      <c r="G60" s="128">
        <v>0</v>
      </c>
      <c r="H60" s="76">
        <f t="shared" si="28"/>
        <v>0</v>
      </c>
      <c r="I60" s="33">
        <v>0</v>
      </c>
      <c r="J60" s="74">
        <v>0</v>
      </c>
      <c r="K60" s="74"/>
      <c r="L60" s="33">
        <v>0</v>
      </c>
      <c r="M60" s="74">
        <v>0</v>
      </c>
      <c r="N60" s="74"/>
      <c r="O60" s="33">
        <v>0</v>
      </c>
      <c r="P60" s="74">
        <v>0</v>
      </c>
      <c r="Q60" s="74"/>
      <c r="R60" s="33">
        <v>0</v>
      </c>
      <c r="S60" s="74">
        <v>0</v>
      </c>
      <c r="T60" s="74"/>
      <c r="U60" s="33">
        <v>0</v>
      </c>
      <c r="V60" s="74">
        <v>0</v>
      </c>
      <c r="W60" s="74"/>
      <c r="X60" s="33">
        <v>0</v>
      </c>
      <c r="Y60" s="74">
        <v>0</v>
      </c>
      <c r="Z60" s="74"/>
      <c r="AA60" s="33">
        <v>0</v>
      </c>
      <c r="AB60" s="152">
        <v>0</v>
      </c>
      <c r="AC60" s="152"/>
      <c r="AD60" s="33">
        <v>0</v>
      </c>
      <c r="AE60" s="82"/>
      <c r="AF60" s="82"/>
      <c r="AG60" s="33">
        <v>0</v>
      </c>
      <c r="AH60" s="75"/>
      <c r="AI60" s="75"/>
      <c r="AJ60" s="86">
        <f t="shared" si="27"/>
        <v>0</v>
      </c>
    </row>
    <row r="61" spans="1:36" x14ac:dyDescent="0.25">
      <c r="A61" s="18" t="s">
        <v>86</v>
      </c>
      <c r="B61" s="48">
        <v>0</v>
      </c>
      <c r="C61" s="48">
        <v>0</v>
      </c>
      <c r="D61" s="128">
        <v>0</v>
      </c>
      <c r="E61" s="76" t="s">
        <v>18</v>
      </c>
      <c r="F61" s="33">
        <v>0</v>
      </c>
      <c r="G61" s="128">
        <v>0</v>
      </c>
      <c r="H61" s="76">
        <f t="shared" si="28"/>
        <v>0</v>
      </c>
      <c r="I61" s="33">
        <v>0</v>
      </c>
      <c r="J61" s="74">
        <v>0</v>
      </c>
      <c r="K61" s="74"/>
      <c r="L61" s="33">
        <v>0</v>
      </c>
      <c r="M61" s="74">
        <v>0</v>
      </c>
      <c r="N61" s="74"/>
      <c r="O61" s="33">
        <v>0</v>
      </c>
      <c r="P61" s="74">
        <v>0</v>
      </c>
      <c r="Q61" s="74"/>
      <c r="R61" s="33">
        <v>0</v>
      </c>
      <c r="S61" s="74">
        <v>0</v>
      </c>
      <c r="T61" s="74"/>
      <c r="U61" s="33">
        <v>0</v>
      </c>
      <c r="V61" s="74">
        <v>0</v>
      </c>
      <c r="W61" s="74"/>
      <c r="X61" s="33">
        <v>0</v>
      </c>
      <c r="Y61" s="74">
        <v>0</v>
      </c>
      <c r="Z61" s="74"/>
      <c r="AA61" s="33">
        <v>0</v>
      </c>
      <c r="AB61" s="152">
        <v>0</v>
      </c>
      <c r="AC61" s="152"/>
      <c r="AD61" s="33">
        <v>0</v>
      </c>
      <c r="AE61" s="82"/>
      <c r="AF61" s="82"/>
      <c r="AG61" s="33">
        <v>0</v>
      </c>
      <c r="AH61" s="75"/>
      <c r="AI61" s="75"/>
      <c r="AJ61" s="86">
        <f t="shared" si="27"/>
        <v>0</v>
      </c>
    </row>
    <row r="62" spans="1:36" x14ac:dyDescent="0.25">
      <c r="A62" s="31" t="s">
        <v>38</v>
      </c>
      <c r="B62" s="32" t="s" vm="11">
        <v>17</v>
      </c>
      <c r="C62" s="32" t="s" vm="12">
        <v>17</v>
      </c>
      <c r="D62" s="60"/>
      <c r="E62" s="122"/>
      <c r="F62" s="32"/>
      <c r="G62" s="60"/>
      <c r="H62" s="12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60"/>
      <c r="AC62" s="60"/>
      <c r="AD62" s="32"/>
      <c r="AE62" s="60"/>
      <c r="AF62" s="60"/>
      <c r="AG62" s="32"/>
      <c r="AH62" s="60"/>
      <c r="AI62" s="60"/>
      <c r="AJ62" s="97"/>
    </row>
    <row r="63" spans="1:36" x14ac:dyDescent="0.25">
      <c r="A63" s="18" t="s">
        <v>69</v>
      </c>
      <c r="B63" s="35">
        <v>1000</v>
      </c>
      <c r="C63" s="35">
        <v>1000</v>
      </c>
      <c r="D63" s="128">
        <f>(C63/B63)-1</f>
        <v>0</v>
      </c>
      <c r="E63" s="76">
        <f>C63-B63</f>
        <v>0</v>
      </c>
      <c r="F63" s="35">
        <v>950</v>
      </c>
      <c r="G63" s="128">
        <f>(F63/C63)-1</f>
        <v>-5.0000000000000044E-2</v>
      </c>
      <c r="H63" s="76">
        <f t="shared" ref="H63" si="29">F63-C63</f>
        <v>-50</v>
      </c>
      <c r="I63" s="48">
        <v>1100</v>
      </c>
      <c r="J63" s="74">
        <f>(I63/F63)-1</f>
        <v>0.15789473684210531</v>
      </c>
      <c r="K63" s="74"/>
      <c r="L63" s="170">
        <f>AVERAGE(I63,F63)</f>
        <v>1025</v>
      </c>
      <c r="M63" s="74">
        <f>(L63/I63)-1</f>
        <v>-6.8181818181818232E-2</v>
      </c>
      <c r="N63" s="74"/>
      <c r="O63" s="170">
        <f>AVERAGE(L63,I63)</f>
        <v>1062.5</v>
      </c>
      <c r="P63" s="74">
        <f>(O63/L63)-1</f>
        <v>3.6585365853658569E-2</v>
      </c>
      <c r="Q63" s="74"/>
      <c r="R63" s="170">
        <f>AVERAGE(O63,L63)</f>
        <v>1043.75</v>
      </c>
      <c r="S63" s="74">
        <f>(R63/O63)-1</f>
        <v>-1.764705882352946E-2</v>
      </c>
      <c r="T63" s="74"/>
      <c r="U63" s="170">
        <f>AVERAGE(R63,O63)</f>
        <v>1053.125</v>
      </c>
      <c r="V63" s="74">
        <f>(U63/R63)-1</f>
        <v>8.9820359281436168E-3</v>
      </c>
      <c r="W63" s="74"/>
      <c r="X63" s="170">
        <f>AVERAGE(U63,R63)</f>
        <v>1048.4375</v>
      </c>
      <c r="Y63" s="74">
        <v>0</v>
      </c>
      <c r="Z63" s="74"/>
      <c r="AA63" s="170">
        <f>AVERAGE(X63,U63)</f>
        <v>1050.78125</v>
      </c>
      <c r="AB63" s="152">
        <f>(AA63/X63)-1</f>
        <v>2.2354694485842153E-3</v>
      </c>
      <c r="AC63" s="152"/>
      <c r="AD63" s="170">
        <f>AVERAGE(AA63,X63)</f>
        <v>1049.609375</v>
      </c>
      <c r="AE63" s="157"/>
      <c r="AF63" s="157"/>
      <c r="AG63" s="170">
        <f>AVERAGE(AD63,AA63)</f>
        <v>1050.1953125</v>
      </c>
      <c r="AH63" s="77"/>
      <c r="AI63" s="77"/>
      <c r="AJ63" s="98">
        <f>SUM(B63,C63,F63,I63,L63,O63,R63,U63,X63,AA63,AD63,AG63)</f>
        <v>12433.3984375</v>
      </c>
    </row>
    <row r="64" spans="1:36" x14ac:dyDescent="0.25">
      <c r="A64" s="18" t="s">
        <v>87</v>
      </c>
      <c r="B64" s="35">
        <v>3000</v>
      </c>
      <c r="C64" s="35">
        <v>3200</v>
      </c>
      <c r="D64" s="128">
        <f>(C64/B64)-1</f>
        <v>6.6666666666666652E-2</v>
      </c>
      <c r="E64" s="76">
        <f>C64-B64</f>
        <v>200</v>
      </c>
      <c r="F64" s="35">
        <f>AVERAGE(B64:C64)</f>
        <v>3100</v>
      </c>
      <c r="G64" s="128">
        <f>(F64/C64)-1</f>
        <v>-3.125E-2</v>
      </c>
      <c r="H64" s="76">
        <f t="shared" ref="H64" si="30">F64-C64</f>
        <v>-100</v>
      </c>
      <c r="I64" s="35">
        <v>3000</v>
      </c>
      <c r="J64" s="74" t="s">
        <v>18</v>
      </c>
      <c r="K64" s="74"/>
      <c r="L64" s="35">
        <f>AVERAGE(C64,F64,I64)</f>
        <v>3100</v>
      </c>
      <c r="M64" s="74" t="s">
        <v>18</v>
      </c>
      <c r="N64" s="74"/>
      <c r="O64" s="35">
        <f>AVERAGE(F64,I64,L64)</f>
        <v>3066.6666666666665</v>
      </c>
      <c r="P64" s="74" t="s">
        <v>18</v>
      </c>
      <c r="Q64" s="74"/>
      <c r="R64" s="35">
        <f>AVERAGE(I64,L64,O64)</f>
        <v>3055.5555555555552</v>
      </c>
      <c r="S64" s="74" t="s">
        <v>18</v>
      </c>
      <c r="T64" s="74"/>
      <c r="U64" s="35">
        <f>AVERAGE(L64,O64,R64)</f>
        <v>3074.0740740740735</v>
      </c>
      <c r="V64" s="74" t="s">
        <v>18</v>
      </c>
      <c r="W64" s="74"/>
      <c r="X64" s="35">
        <f>AVERAGE(O64,R64,U64)</f>
        <v>3065.4320987654319</v>
      </c>
      <c r="Y64" s="74" t="s">
        <v>18</v>
      </c>
      <c r="Z64" s="74"/>
      <c r="AA64" s="35">
        <f>AVERAGE(R64,U64,X64)</f>
        <v>3065.0205761316865</v>
      </c>
      <c r="AB64" s="152" t="s">
        <v>18</v>
      </c>
      <c r="AC64" s="152"/>
      <c r="AD64" s="35">
        <f>AVERAGE(U64,X64,AA64)</f>
        <v>3068.1755829903973</v>
      </c>
      <c r="AE64" s="157"/>
      <c r="AF64" s="157"/>
      <c r="AG64" s="35">
        <f>AVERAGE(X64,AA64,AD64)</f>
        <v>3066.2094192958389</v>
      </c>
      <c r="AH64" s="77"/>
      <c r="AI64" s="77"/>
      <c r="AJ64" s="98"/>
    </row>
    <row r="65" spans="1:36" x14ac:dyDescent="0.25">
      <c r="A65" s="18" t="s">
        <v>70</v>
      </c>
      <c r="B65" s="35">
        <v>0</v>
      </c>
      <c r="C65" s="35">
        <v>0</v>
      </c>
      <c r="D65" s="74"/>
      <c r="E65" s="76"/>
      <c r="F65" s="35"/>
      <c r="G65" s="74"/>
      <c r="H65" s="76"/>
      <c r="I65" s="35"/>
      <c r="J65" s="74"/>
      <c r="K65" s="74"/>
      <c r="L65" s="35"/>
      <c r="M65" s="74"/>
      <c r="N65" s="74"/>
      <c r="O65" s="35"/>
      <c r="P65" s="74"/>
      <c r="Q65" s="74"/>
      <c r="R65" s="35"/>
      <c r="S65" s="74"/>
      <c r="T65" s="74"/>
      <c r="U65" s="35"/>
      <c r="V65" s="74"/>
      <c r="W65" s="74"/>
      <c r="X65" s="35"/>
      <c r="Y65" s="74"/>
      <c r="Z65" s="74"/>
      <c r="AA65" s="35"/>
      <c r="AB65" s="152"/>
      <c r="AC65" s="152"/>
      <c r="AD65" s="33"/>
      <c r="AE65" s="157"/>
      <c r="AF65" s="157"/>
      <c r="AG65" s="48"/>
      <c r="AH65" s="77"/>
      <c r="AI65" s="77"/>
      <c r="AJ65" s="98"/>
    </row>
    <row r="66" spans="1:36" x14ac:dyDescent="0.25">
      <c r="A66" s="31" t="s">
        <v>39</v>
      </c>
      <c r="B66" s="32"/>
      <c r="C66" s="32"/>
      <c r="D66" s="60"/>
      <c r="E66" s="122"/>
      <c r="F66" s="32"/>
      <c r="G66" s="60"/>
      <c r="H66" s="122"/>
      <c r="I66" s="32"/>
      <c r="J66" s="32"/>
      <c r="K66" s="32"/>
      <c r="L66" s="45"/>
      <c r="M66" s="74"/>
      <c r="N66" s="74"/>
      <c r="O66" s="45"/>
      <c r="P66" s="74"/>
      <c r="Q66" s="74"/>
      <c r="R66" s="45"/>
      <c r="S66" s="74"/>
      <c r="T66" s="74"/>
      <c r="U66" s="45"/>
      <c r="V66" s="74"/>
      <c r="W66" s="74"/>
      <c r="X66" s="45"/>
      <c r="Y66" s="74"/>
      <c r="Z66" s="74"/>
      <c r="AA66" s="32"/>
      <c r="AB66" s="156"/>
      <c r="AC66" s="156"/>
      <c r="AD66" s="32"/>
      <c r="AE66" s="155"/>
      <c r="AF66" s="155"/>
      <c r="AG66" s="32"/>
      <c r="AH66" s="60"/>
      <c r="AI66" s="60"/>
      <c r="AJ66" s="97"/>
    </row>
    <row r="67" spans="1:36" x14ac:dyDescent="0.25">
      <c r="A67" s="18" t="s">
        <v>71</v>
      </c>
      <c r="B67" s="48">
        <v>1200</v>
      </c>
      <c r="C67" s="48">
        <v>1200</v>
      </c>
      <c r="D67" s="128">
        <v>0</v>
      </c>
      <c r="E67" s="76" t="s">
        <v>18</v>
      </c>
      <c r="F67" s="48">
        <v>1200</v>
      </c>
      <c r="G67" s="128">
        <v>0</v>
      </c>
      <c r="H67" s="76">
        <f>F67-C67</f>
        <v>0</v>
      </c>
      <c r="I67" s="48">
        <v>1200</v>
      </c>
      <c r="J67" s="74">
        <v>0</v>
      </c>
      <c r="K67" s="74"/>
      <c r="L67" s="48">
        <v>1200</v>
      </c>
      <c r="M67" s="74">
        <v>0</v>
      </c>
      <c r="N67" s="74"/>
      <c r="O67" s="48">
        <v>1200</v>
      </c>
      <c r="P67" s="74">
        <v>0</v>
      </c>
      <c r="Q67" s="74"/>
      <c r="R67" s="48">
        <v>1200</v>
      </c>
      <c r="S67" s="74">
        <v>0</v>
      </c>
      <c r="T67" s="74"/>
      <c r="U67" s="48">
        <v>1200</v>
      </c>
      <c r="V67" s="74">
        <v>0</v>
      </c>
      <c r="W67" s="74"/>
      <c r="X67" s="48">
        <v>1200</v>
      </c>
      <c r="Y67" s="74">
        <v>0</v>
      </c>
      <c r="Z67" s="74"/>
      <c r="AA67" s="48">
        <v>1200</v>
      </c>
      <c r="AB67" s="152">
        <v>0</v>
      </c>
      <c r="AC67" s="152"/>
      <c r="AD67" s="33"/>
      <c r="AE67" s="82"/>
      <c r="AF67" s="82"/>
      <c r="AG67" s="48">
        <v>1200</v>
      </c>
      <c r="AH67" s="75"/>
      <c r="AI67" s="75"/>
      <c r="AJ67" s="164">
        <f>SUM(B67,C67,F67,I67,L67,O67,R67,U67,X67,AA67,AD67,AG67)</f>
        <v>13200</v>
      </c>
    </row>
    <row r="68" spans="1:36" x14ac:dyDescent="0.25">
      <c r="A68" s="25" t="s">
        <v>68</v>
      </c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  <c r="AH68" s="26"/>
      <c r="AI68" s="26"/>
      <c r="AJ68" s="26"/>
    </row>
    <row r="69" spans="1:36" x14ac:dyDescent="0.25">
      <c r="A69" s="31" t="s">
        <v>72</v>
      </c>
      <c r="B69" s="32" t="s" vm="13">
        <v>17</v>
      </c>
      <c r="C69" s="32" t="s" vm="14">
        <v>17</v>
      </c>
      <c r="D69" s="60"/>
      <c r="E69" s="122"/>
      <c r="F69" s="32"/>
      <c r="G69" s="60"/>
      <c r="H69" s="122"/>
      <c r="I69" s="32"/>
      <c r="J69" s="32"/>
      <c r="K69" s="32"/>
      <c r="L69" s="32"/>
      <c r="M69" s="60"/>
      <c r="N69" s="60"/>
      <c r="O69" s="32"/>
      <c r="P69" s="60"/>
      <c r="Q69" s="60"/>
      <c r="R69" s="32"/>
      <c r="S69" s="60"/>
      <c r="T69" s="60"/>
      <c r="U69" s="32"/>
      <c r="V69" s="60"/>
      <c r="W69" s="60"/>
      <c r="X69" s="32"/>
      <c r="Y69" s="60"/>
      <c r="Z69" s="60"/>
      <c r="AA69" s="32"/>
      <c r="AB69" s="60"/>
      <c r="AC69" s="60"/>
      <c r="AD69" s="32"/>
      <c r="AE69" s="60"/>
      <c r="AF69" s="60"/>
      <c r="AG69" s="32"/>
      <c r="AH69" s="60"/>
      <c r="AI69" s="60"/>
      <c r="AJ69" s="96"/>
    </row>
    <row r="70" spans="1:36" x14ac:dyDescent="0.25">
      <c r="A70" s="29" t="s">
        <v>14</v>
      </c>
      <c r="B70" s="29" t="s" vm="15">
        <v>17</v>
      </c>
      <c r="C70" s="29" t="s" vm="16">
        <v>17</v>
      </c>
      <c r="D70" s="61"/>
      <c r="E70" s="124"/>
      <c r="F70" s="29"/>
      <c r="G70" s="61"/>
      <c r="H70" s="124"/>
      <c r="I70" s="29"/>
      <c r="J70" s="29"/>
      <c r="K70" s="29"/>
      <c r="L70" s="29"/>
      <c r="M70" s="61"/>
      <c r="N70" s="61"/>
      <c r="O70" s="29"/>
      <c r="P70" s="61"/>
      <c r="Q70" s="61"/>
      <c r="R70" s="29"/>
      <c r="S70" s="61"/>
      <c r="T70" s="61"/>
      <c r="U70" s="29"/>
      <c r="V70" s="61"/>
      <c r="W70" s="61"/>
      <c r="X70" s="29"/>
      <c r="Y70" s="61"/>
      <c r="Z70" s="61"/>
      <c r="AA70" s="29"/>
      <c r="AB70" s="61"/>
      <c r="AC70" s="61"/>
      <c r="AD70" s="29"/>
      <c r="AE70" s="61"/>
      <c r="AF70" s="61"/>
      <c r="AG70" s="29"/>
      <c r="AH70" s="61"/>
      <c r="AI70" s="59"/>
      <c r="AJ70" s="95"/>
    </row>
    <row r="71" spans="1:36" x14ac:dyDescent="0.25">
      <c r="A71" s="18" t="s">
        <v>81</v>
      </c>
      <c r="B71" s="171">
        <v>150</v>
      </c>
      <c r="C71" s="171">
        <v>180</v>
      </c>
      <c r="D71" s="128">
        <v>0</v>
      </c>
      <c r="E71" s="76" t="s">
        <v>18</v>
      </c>
      <c r="F71" s="171">
        <f>AVERAGE(B71:C72)</f>
        <v>120</v>
      </c>
      <c r="G71" s="128">
        <v>0</v>
      </c>
      <c r="H71" s="76"/>
      <c r="I71" s="171">
        <f>AVERAGE(F71,C71)</f>
        <v>150</v>
      </c>
      <c r="J71" s="74">
        <v>0</v>
      </c>
      <c r="K71" s="74"/>
      <c r="L71" s="175">
        <f>AVERAGE(I71,F71)</f>
        <v>135</v>
      </c>
      <c r="M71" s="74">
        <v>0</v>
      </c>
      <c r="N71" s="74"/>
      <c r="O71" s="175">
        <f>AVERAGE(L71,I71)</f>
        <v>142.5</v>
      </c>
      <c r="P71" s="74">
        <v>0</v>
      </c>
      <c r="Q71" s="74"/>
      <c r="R71" s="175">
        <f>AVERAGE(O71,L71)</f>
        <v>138.75</v>
      </c>
      <c r="S71" s="74">
        <v>0</v>
      </c>
      <c r="T71" s="74"/>
      <c r="U71" s="175">
        <f>AVERAGE(R71,O71)</f>
        <v>140.625</v>
      </c>
      <c r="V71" s="74">
        <v>0</v>
      </c>
      <c r="W71" s="74"/>
      <c r="X71" s="175">
        <f>AVERAGE(U71,R71)</f>
        <v>139.6875</v>
      </c>
      <c r="Y71" s="74">
        <v>0</v>
      </c>
      <c r="Z71" s="74"/>
      <c r="AA71" s="175">
        <f>AVERAGE(X71,U71)</f>
        <v>140.15625</v>
      </c>
      <c r="AB71" s="152">
        <v>0</v>
      </c>
      <c r="AC71" s="152"/>
      <c r="AD71" s="175">
        <f>AVERAGE(AA71,X71)</f>
        <v>139.921875</v>
      </c>
      <c r="AE71" s="153"/>
      <c r="AF71" s="153"/>
      <c r="AG71" s="175">
        <f>AVERAGE(AD71,AA71)</f>
        <v>140.0390625</v>
      </c>
      <c r="AH71" s="78"/>
      <c r="AI71" s="78"/>
      <c r="AJ71" s="99">
        <f t="shared" ref="AJ71:AJ72" si="31">SUM(B71:AG71)</f>
        <v>1716.6796875</v>
      </c>
    </row>
    <row r="72" spans="1:36" x14ac:dyDescent="0.25">
      <c r="A72" s="18" t="s">
        <v>82</v>
      </c>
      <c r="B72" s="171">
        <v>80</v>
      </c>
      <c r="C72" s="171">
        <v>70</v>
      </c>
      <c r="D72" s="128">
        <v>0</v>
      </c>
      <c r="E72" s="76" t="s">
        <v>18</v>
      </c>
      <c r="F72" s="171">
        <f>AVERAGE(B72:C72,B74:C74)</f>
        <v>67.5</v>
      </c>
      <c r="G72" s="128">
        <v>0</v>
      </c>
      <c r="H72" s="76"/>
      <c r="I72" s="171">
        <f>AVERAGE(F72,C72)</f>
        <v>68.75</v>
      </c>
      <c r="J72" s="74">
        <v>0</v>
      </c>
      <c r="K72" s="74"/>
      <c r="L72" s="175">
        <f>AVERAGE(I72,F72)</f>
        <v>68.125</v>
      </c>
      <c r="M72" s="74">
        <v>0</v>
      </c>
      <c r="N72" s="74"/>
      <c r="O72" s="175">
        <f>AVERAGE(L72,I72)</f>
        <v>68.4375</v>
      </c>
      <c r="P72" s="74">
        <v>0</v>
      </c>
      <c r="Q72" s="74"/>
      <c r="R72" s="175">
        <f>AVERAGE(O72,L72)</f>
        <v>68.28125</v>
      </c>
      <c r="S72" s="74">
        <v>0</v>
      </c>
      <c r="T72" s="74"/>
      <c r="U72" s="175">
        <f>AVERAGE(R72,O72)</f>
        <v>68.359375</v>
      </c>
      <c r="V72" s="74">
        <v>0</v>
      </c>
      <c r="W72" s="74"/>
      <c r="X72" s="175">
        <f>AVERAGE(U72,R72)</f>
        <v>68.3203125</v>
      </c>
      <c r="Y72" s="74">
        <v>0</v>
      </c>
      <c r="Z72" s="74"/>
      <c r="AA72" s="175">
        <f>AVERAGE(X72,U72)</f>
        <v>68.33984375</v>
      </c>
      <c r="AB72" s="152">
        <v>0</v>
      </c>
      <c r="AC72" s="152"/>
      <c r="AD72" s="175">
        <f>AVERAGE(AA72,X72)</f>
        <v>68.330078125</v>
      </c>
      <c r="AE72" s="153"/>
      <c r="AF72" s="153"/>
      <c r="AG72" s="175">
        <f>AVERAGE(AD72,AA72)</f>
        <v>68.3349609375</v>
      </c>
      <c r="AH72" s="78"/>
      <c r="AI72" s="78"/>
      <c r="AJ72" s="99">
        <f t="shared" si="31"/>
        <v>832.7783203125</v>
      </c>
    </row>
    <row r="73" spans="1:36" x14ac:dyDescent="0.25">
      <c r="A73" s="29" t="s">
        <v>15</v>
      </c>
      <c r="B73" s="126" t="s" vm="17">
        <v>17</v>
      </c>
      <c r="C73" s="126" t="s" vm="18">
        <v>17</v>
      </c>
      <c r="D73" s="43"/>
      <c r="E73" s="126"/>
      <c r="F73" s="126"/>
      <c r="G73" s="43"/>
      <c r="H73" s="126"/>
      <c r="I73" s="126"/>
      <c r="J73" s="43"/>
      <c r="K73" s="43"/>
      <c r="L73" s="173"/>
      <c r="M73" s="43"/>
      <c r="N73" s="43"/>
      <c r="O73" s="173"/>
      <c r="P73" s="43"/>
      <c r="Q73" s="43"/>
      <c r="R73" s="173"/>
      <c r="S73" s="43"/>
      <c r="T73" s="43"/>
      <c r="U73" s="173"/>
      <c r="V73" s="43"/>
      <c r="W73" s="43"/>
      <c r="X73" s="173"/>
      <c r="Y73" s="43"/>
      <c r="Z73" s="43"/>
      <c r="AA73" s="173"/>
      <c r="AB73" s="44"/>
      <c r="AC73" s="44"/>
      <c r="AD73" s="173"/>
      <c r="AE73" s="154"/>
      <c r="AF73" s="154"/>
      <c r="AG73" s="173"/>
      <c r="AH73" s="62"/>
      <c r="AI73" s="107"/>
      <c r="AJ73" s="95"/>
    </row>
    <row r="74" spans="1:36" x14ac:dyDescent="0.25">
      <c r="A74" s="18" t="s">
        <v>80</v>
      </c>
      <c r="B74" s="172">
        <v>65</v>
      </c>
      <c r="C74" s="172">
        <v>55</v>
      </c>
      <c r="D74" s="128">
        <v>0</v>
      </c>
      <c r="E74" s="76" t="s">
        <v>18</v>
      </c>
      <c r="F74" s="172">
        <f>AVERAGE(B74,C74,C72,B72,B71,C71)</f>
        <v>100</v>
      </c>
      <c r="G74" s="128">
        <v>0</v>
      </c>
      <c r="H74" s="76"/>
      <c r="I74" s="171">
        <f>AVERAGE(F74,C74)</f>
        <v>77.5</v>
      </c>
      <c r="J74" s="74">
        <v>0</v>
      </c>
      <c r="K74" s="74"/>
      <c r="L74" s="175">
        <f>AVERAGE(I74,F74)</f>
        <v>88.75</v>
      </c>
      <c r="M74" s="74">
        <v>0</v>
      </c>
      <c r="N74" s="74"/>
      <c r="O74" s="175">
        <f>AVERAGE(L74,I74)</f>
        <v>83.125</v>
      </c>
      <c r="P74" s="74">
        <v>0</v>
      </c>
      <c r="Q74" s="74"/>
      <c r="R74" s="175">
        <f>AVERAGE(O74,L74)</f>
        <v>85.9375</v>
      </c>
      <c r="S74" s="74">
        <v>0</v>
      </c>
      <c r="T74" s="74"/>
      <c r="U74" s="175">
        <f>AVERAGE(R74,O74)</f>
        <v>84.53125</v>
      </c>
      <c r="V74" s="74">
        <v>0</v>
      </c>
      <c r="W74" s="74"/>
      <c r="X74" s="175">
        <f>AVERAGE(U74,R74)</f>
        <v>85.234375</v>
      </c>
      <c r="Y74" s="74">
        <v>0</v>
      </c>
      <c r="Z74" s="74"/>
      <c r="AA74" s="175">
        <f>AVERAGE(X74,U74)</f>
        <v>84.8828125</v>
      </c>
      <c r="AB74" s="152">
        <v>0</v>
      </c>
      <c r="AC74" s="152"/>
      <c r="AD74" s="175">
        <f>AVERAGE(AA74,X74)</f>
        <v>85.05859375</v>
      </c>
      <c r="AE74" s="153"/>
      <c r="AF74" s="153"/>
      <c r="AG74" s="175">
        <f>AVERAGE(AD74,AA74)</f>
        <v>84.970703125</v>
      </c>
      <c r="AH74" s="78"/>
      <c r="AI74" s="78"/>
      <c r="AJ74" s="99">
        <f>SUM(B74:AG74)</f>
        <v>979.990234375</v>
      </c>
    </row>
    <row r="75" spans="1:36" hidden="1" x14ac:dyDescent="0.25">
      <c r="A75" s="18" t="s">
        <v>16</v>
      </c>
      <c r="B75" t="s" vm="19">
        <v>17</v>
      </c>
      <c r="C75" t="s" vm="20">
        <v>17</v>
      </c>
      <c r="D75" s="74">
        <v>0</v>
      </c>
      <c r="E75" s="76"/>
      <c r="F75"/>
      <c r="G75" s="74"/>
      <c r="H75" s="76"/>
      <c r="I75"/>
      <c r="J75" s="74" t="e">
        <f>(I75/F75)-1</f>
        <v>#DIV/0!</v>
      </c>
      <c r="K75" s="74"/>
      <c r="L75"/>
      <c r="M75" s="56"/>
      <c r="N75" s="56"/>
      <c r="O75"/>
      <c r="P75" s="56"/>
      <c r="Q75" s="56"/>
      <c r="R75"/>
      <c r="S75" s="56"/>
      <c r="T75" s="56"/>
      <c r="U75" t="s">
        <v>18</v>
      </c>
      <c r="V75" s="56"/>
      <c r="W75" s="56"/>
      <c r="X75"/>
      <c r="Y75" s="56"/>
      <c r="Z75" s="56"/>
      <c r="AA75"/>
      <c r="AB75" s="56"/>
      <c r="AC75" s="56"/>
      <c r="AD75"/>
      <c r="AE75" s="56"/>
      <c r="AF75" s="56"/>
      <c r="AG75"/>
      <c r="AH75" s="56"/>
      <c r="AI75" s="56"/>
      <c r="AJ75" s="99" t="e">
        <f>SUM(B75:AG75)</f>
        <v>#DIV/0!</v>
      </c>
    </row>
    <row r="76" spans="1:36" x14ac:dyDescent="0.25">
      <c r="B76" s="131"/>
      <c r="C76" s="131"/>
      <c r="D76" s="132"/>
      <c r="E76" s="133"/>
      <c r="F76" s="131"/>
      <c r="G76" s="132"/>
      <c r="H76" s="132"/>
      <c r="I76" s="131"/>
      <c r="J76" s="132"/>
      <c r="K76" s="132"/>
      <c r="M76" s="132"/>
      <c r="N76" s="132"/>
      <c r="P76" s="132"/>
      <c r="Q76" s="132"/>
      <c r="S76" s="132"/>
      <c r="T76" s="132"/>
      <c r="V76" s="132"/>
      <c r="W76" s="132"/>
      <c r="Y76" s="132"/>
      <c r="Z76" s="132"/>
      <c r="AB76" s="132"/>
      <c r="AC76" s="132"/>
      <c r="AE76" s="132"/>
      <c r="AF76" s="132"/>
    </row>
  </sheetData>
  <mergeCells count="24">
    <mergeCell ref="A3:A4"/>
    <mergeCell ref="C7:I7"/>
    <mergeCell ref="L7:R7"/>
    <mergeCell ref="U7:AA7"/>
    <mergeCell ref="A6:A7"/>
    <mergeCell ref="R8:T8"/>
    <mergeCell ref="BC7:BE7"/>
    <mergeCell ref="AK7:AM7"/>
    <mergeCell ref="AN7:AP7"/>
    <mergeCell ref="AQ7:AS7"/>
    <mergeCell ref="AT7:AV7"/>
    <mergeCell ref="AW7:AY7"/>
    <mergeCell ref="AZ7:BB7"/>
    <mergeCell ref="AD7:AJ7"/>
    <mergeCell ref="AG8:AI8"/>
    <mergeCell ref="AD8:AF8"/>
    <mergeCell ref="AA8:AC8"/>
    <mergeCell ref="X8:Z8"/>
    <mergeCell ref="U8:W8"/>
    <mergeCell ref="C8:E8"/>
    <mergeCell ref="F8:H8"/>
    <mergeCell ref="I8:K8"/>
    <mergeCell ref="L8:N8"/>
    <mergeCell ref="O8:Q8"/>
  </mergeCells>
  <conditionalFormatting sqref="AQ7 AT7 AW7 AZ7">
    <cfRule type="expression" dxfId="29" priority="28">
      <formula>AND(-3=3, "annulé" = "cancelled",  OR(#REF!&lt;#REF!,  AND(ISBLANK(#REF!),NOT(ISBLANK(#REF!)) )  )   )</formula>
    </cfRule>
    <cfRule type="expression" dxfId="28" priority="29">
      <formula>AND(2=2,  AND( #REF!&gt;#REF!, NOT(ISBLANK(#REF!))  )  )</formula>
    </cfRule>
    <cfRule type="expression" dxfId="27" priority="30">
      <formula>AND(1=1,#REF!&lt;0)</formula>
    </cfRule>
  </conditionalFormatting>
  <conditionalFormatting sqref="C7:E7">
    <cfRule type="expression" dxfId="26" priority="25">
      <formula>AND(-3=3, "annulé" = "cancelled",  OR(#REF!&lt;#REF!,  AND(ISBLANK(#REF!),NOT(ISBLANK(#REF!)) )  )   )</formula>
    </cfRule>
    <cfRule type="expression" dxfId="25" priority="26">
      <formula>AND(2=2,  AND( #REF!&gt;#REF!, NOT(ISBLANK(#REF!))  )  )</formula>
    </cfRule>
    <cfRule type="expression" dxfId="24" priority="27">
      <formula>AND(1=1,#REF!&lt;0)</formula>
    </cfRule>
  </conditionalFormatting>
  <conditionalFormatting sqref="L7:N7">
    <cfRule type="expression" dxfId="23" priority="22">
      <formula>AND(-3=3, "annulé" = "cancelled",  OR(#REF!&lt;#REF!,  AND(ISBLANK(#REF!),NOT(ISBLANK(#REF!)) )  )   )</formula>
    </cfRule>
    <cfRule type="expression" dxfId="22" priority="23">
      <formula>AND(2=2,  AND( #REF!&gt;#REF!, NOT(ISBLANK(#REF!))  )  )</formula>
    </cfRule>
    <cfRule type="expression" dxfId="21" priority="24">
      <formula>AND(1=1,#REF!&lt;0)</formula>
    </cfRule>
  </conditionalFormatting>
  <conditionalFormatting sqref="AD7:AF7">
    <cfRule type="expression" dxfId="20" priority="19">
      <formula>AND(-3=3, "annulé" = "cancelled",  OR(#REF!&lt;#REF!,  AND(ISBLANK(#REF!),NOT(ISBLANK(#REF!)) )  )   )</formula>
    </cfRule>
    <cfRule type="expression" dxfId="19" priority="20">
      <formula>AND(2=2,  AND( #REF!&gt;#REF!, NOT(ISBLANK(#REF!))  )  )</formula>
    </cfRule>
    <cfRule type="expression" dxfId="18" priority="21">
      <formula>AND(1=1,#REF!&lt;0)</formula>
    </cfRule>
  </conditionalFormatting>
  <conditionalFormatting sqref="F7:H7">
    <cfRule type="expression" dxfId="17" priority="16">
      <formula>AND(-3=3, "annulé" = "cancelled",  OR(#REF!&lt;#REF!,  AND(ISBLANK(#REF!),NOT(ISBLANK(#REF!)) )  )   )</formula>
    </cfRule>
    <cfRule type="expression" dxfId="16" priority="17">
      <formula>AND(2=2,  AND( #REF!&gt;#REF!, NOT(ISBLANK(#REF!))  )  )</formula>
    </cfRule>
    <cfRule type="expression" dxfId="15" priority="18">
      <formula>AND(1=1,#REF!&lt;0)</formula>
    </cfRule>
  </conditionalFormatting>
  <conditionalFormatting sqref="O7:Q7">
    <cfRule type="expression" dxfId="14" priority="13">
      <formula>AND(-3=3, "annulé" = "cancelled",  OR(#REF!&lt;#REF!,  AND(ISBLANK(#REF!),NOT(ISBLANK(#REF!)) )  )   )</formula>
    </cfRule>
    <cfRule type="expression" dxfId="13" priority="14">
      <formula>AND(2=2,  AND( #REF!&gt;#REF!, NOT(ISBLANK(#REF!))  )  )</formula>
    </cfRule>
    <cfRule type="expression" dxfId="12" priority="15">
      <formula>AND(1=1,#REF!&lt;0)</formula>
    </cfRule>
  </conditionalFormatting>
  <conditionalFormatting sqref="AG7:AI7">
    <cfRule type="expression" dxfId="11" priority="10">
      <formula>AND(-3=3, "annulé" = "cancelled",  OR(#REF!&lt;#REF!,  AND(ISBLANK(#REF!),NOT(ISBLANK(#REF!)) )  )   )</formula>
    </cfRule>
    <cfRule type="expression" dxfId="10" priority="11">
      <formula>AND(2=2,  AND( #REF!&gt;#REF!, NOT(ISBLANK(#REF!))  )  )</formula>
    </cfRule>
    <cfRule type="expression" dxfId="9" priority="12">
      <formula>AND(1=1,#REF!&lt;0)</formula>
    </cfRule>
  </conditionalFormatting>
  <conditionalFormatting sqref="BC7:BD7">
    <cfRule type="expression" dxfId="8" priority="7">
      <formula>AND(-3=3, "annulé" = "cancelled",  OR(#REF!&lt;#REF!,  AND(ISBLANK(#REF!),NOT(ISBLANK(#REF!)) )  )   )</formula>
    </cfRule>
    <cfRule type="expression" dxfId="7" priority="8">
      <formula>AND(2=2,  AND( #REF!&gt;#REF!, NOT(ISBLANK(#REF!))  )  )</formula>
    </cfRule>
    <cfRule type="expression" dxfId="6" priority="9">
      <formula>AND(1=1,#REF!&lt;0)</formula>
    </cfRule>
  </conditionalFormatting>
  <conditionalFormatting sqref="U7:W7">
    <cfRule type="expression" dxfId="5" priority="4">
      <formula>AND(-3=3, "annulé" = "cancelled",  OR(#REF!&lt;#REF!,  AND(ISBLANK(#REF!),NOT(ISBLANK(#REF!)) )  )   )</formula>
    </cfRule>
    <cfRule type="expression" dxfId="4" priority="5">
      <formula>AND(2=2,  AND( #REF!&gt;#REF!, NOT(ISBLANK(#REF!))  )  )</formula>
    </cfRule>
    <cfRule type="expression" dxfId="3" priority="6">
      <formula>AND(1=1,#REF!&lt;0)</formula>
    </cfRule>
  </conditionalFormatting>
  <conditionalFormatting sqref="X7:Z7">
    <cfRule type="expression" dxfId="2" priority="1">
      <formula>AND(-3=3, "annulé" = "cancelled",  OR(#REF!&lt;#REF!,  AND(ISBLANK(#REF!),NOT(ISBLANK(#REF!)) )  )   )</formula>
    </cfRule>
    <cfRule type="expression" dxfId="1" priority="2">
      <formula>AND(2=2,  AND( #REF!&gt;#REF!, NOT(ISBLANK(#REF!))  )  )</formula>
    </cfRule>
    <cfRule type="expression" dxfId="0" priority="3">
      <formula>AND(1=1,#REF!&lt;0)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headerFooter>
    <oddFooter>&amp;C&amp;1#&amp;"arial"&amp;9&amp;K008000 C1 Internal use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Production</vt:lpstr>
    </vt:vector>
  </TitlesOfParts>
  <Company>L'Oréal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LOPES Joao - GI GROUP</dc:creator>
  <cp:lastModifiedBy>Rafael Bertinotti</cp:lastModifiedBy>
  <dcterms:created xsi:type="dcterms:W3CDTF">2019-04-11T18:50:07Z</dcterms:created>
  <dcterms:modified xsi:type="dcterms:W3CDTF">2023-01-12T03:32:29Z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45dad89-2096-47a1-b1b1-c9d057667e94_Enabled">
    <vt:lpwstr>True</vt:lpwstr>
  </property>
  <property fmtid="{D5CDD505-2E9C-101B-9397-08002B2CF9AE}" pid="3" name="MSIP_Label_645dad89-2096-47a1-b1b1-c9d057667e94_SiteId">
    <vt:lpwstr>e4e1abd9-eac7-4a71-ab52-da5c998aa7ba</vt:lpwstr>
  </property>
  <property fmtid="{D5CDD505-2E9C-101B-9397-08002B2CF9AE}" pid="4" name="MSIP_Label_645dad89-2096-47a1-b1b1-c9d057667e94_Owner">
    <vt:lpwstr>joao.lopes@rd.loreal.com</vt:lpwstr>
  </property>
  <property fmtid="{D5CDD505-2E9C-101B-9397-08002B2CF9AE}" pid="5" name="MSIP_Label_645dad89-2096-47a1-b1b1-c9d057667e94_SetDate">
    <vt:lpwstr>2019-07-09T21:24:18.5742351Z</vt:lpwstr>
  </property>
  <property fmtid="{D5CDD505-2E9C-101B-9397-08002B2CF9AE}" pid="6" name="MSIP_Label_645dad89-2096-47a1-b1b1-c9d057667e94_Name">
    <vt:lpwstr>C1 - Internal use</vt:lpwstr>
  </property>
  <property fmtid="{D5CDD505-2E9C-101B-9397-08002B2CF9AE}" pid="7" name="MSIP_Label_645dad89-2096-47a1-b1b1-c9d057667e94_Application">
    <vt:lpwstr>Microsoft Azure Information Protection</vt:lpwstr>
  </property>
  <property fmtid="{D5CDD505-2E9C-101B-9397-08002B2CF9AE}" pid="8" name="MSIP_Label_645dad89-2096-47a1-b1b1-c9d057667e94_Extended_MSFT_Method">
    <vt:lpwstr>Automatic</vt:lpwstr>
  </property>
  <property fmtid="{D5CDD505-2E9C-101B-9397-08002B2CF9AE}" pid="9" name="Sensitivity">
    <vt:lpwstr>C1 - Internal use</vt:lpwstr>
  </property>
</Properties>
</file>