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O DIAS\Desktop\TCC-Drone\Calibração\Motores\"/>
    </mc:Choice>
  </mc:AlternateContent>
  <xr:revisionPtr revIDLastSave="0" documentId="13_ncr:1_{50C1EB2B-7C2F-4C8E-841C-245DE3460B72}" xr6:coauthVersionLast="47" xr6:coauthVersionMax="47" xr10:uidLastSave="{00000000-0000-0000-0000-000000000000}"/>
  <bookViews>
    <workbookView xWindow="-120" yWindow="-120" windowWidth="38640" windowHeight="15840" activeTab="1" xr2:uid="{097909A5-12FA-4257-A99D-C2302BCA1918}"/>
  </bookViews>
  <sheets>
    <sheet name="Casa 03-08-2021" sheetId="4" r:id="rId1"/>
    <sheet name="Laboratório 09-08-2021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5" l="1"/>
  <c r="C17" i="5"/>
  <c r="C18" i="5" s="1"/>
  <c r="B21" i="5"/>
  <c r="B22" i="5" s="1"/>
  <c r="K21" i="5"/>
  <c r="J21" i="5"/>
  <c r="I21" i="5"/>
  <c r="H21" i="5"/>
  <c r="G21" i="5"/>
  <c r="F21" i="5"/>
  <c r="E21" i="5"/>
  <c r="D21" i="5"/>
  <c r="C21" i="5"/>
  <c r="C22" i="5" s="1"/>
  <c r="K17" i="5"/>
  <c r="J17" i="5"/>
  <c r="J18" i="5" s="1"/>
  <c r="I17" i="5"/>
  <c r="H17" i="5"/>
  <c r="G17" i="5"/>
  <c r="F17" i="5"/>
  <c r="F18" i="5" s="1"/>
  <c r="E17" i="5"/>
  <c r="D17" i="5"/>
  <c r="B17" i="5"/>
  <c r="K20" i="5"/>
  <c r="J20" i="5"/>
  <c r="I20" i="5"/>
  <c r="H20" i="5"/>
  <c r="G20" i="5"/>
  <c r="F20" i="5"/>
  <c r="F22" i="5" s="1"/>
  <c r="E20" i="5"/>
  <c r="E22" i="5" s="1"/>
  <c r="D20" i="5"/>
  <c r="C20" i="5"/>
  <c r="B20" i="5"/>
  <c r="K16" i="5"/>
  <c r="J16" i="5"/>
  <c r="I16" i="5"/>
  <c r="I18" i="5" s="1"/>
  <c r="H16" i="5"/>
  <c r="H18" i="5" s="1"/>
  <c r="G16" i="5"/>
  <c r="F16" i="5"/>
  <c r="E16" i="5"/>
  <c r="D16" i="5"/>
  <c r="C16" i="5"/>
  <c r="B16" i="5"/>
  <c r="H15" i="5"/>
  <c r="I15" i="5"/>
  <c r="K19" i="5"/>
  <c r="J19" i="5"/>
  <c r="H19" i="5"/>
  <c r="G19" i="5"/>
  <c r="F19" i="5"/>
  <c r="E19" i="5"/>
  <c r="D19" i="5"/>
  <c r="C19" i="5"/>
  <c r="B19" i="5"/>
  <c r="K15" i="5"/>
  <c r="J15" i="5"/>
  <c r="G15" i="5"/>
  <c r="F15" i="5"/>
  <c r="E15" i="5"/>
  <c r="E18" i="5" s="1"/>
  <c r="D15" i="5"/>
  <c r="C15" i="5"/>
  <c r="B15" i="5"/>
  <c r="K10" i="5"/>
  <c r="J10" i="5"/>
  <c r="I10" i="5"/>
  <c r="H10" i="5"/>
  <c r="G10" i="5"/>
  <c r="F10" i="5"/>
  <c r="F11" i="5" s="1"/>
  <c r="E10" i="5"/>
  <c r="E11" i="5" s="1"/>
  <c r="D10" i="5"/>
  <c r="K6" i="5"/>
  <c r="K7" i="5" s="1"/>
  <c r="J6" i="5"/>
  <c r="I6" i="5"/>
  <c r="H6" i="5"/>
  <c r="G6" i="5"/>
  <c r="F6" i="5"/>
  <c r="E6" i="5"/>
  <c r="D6" i="5"/>
  <c r="K9" i="5"/>
  <c r="J9" i="5"/>
  <c r="I9" i="5"/>
  <c r="I11" i="5" s="1"/>
  <c r="H9" i="5"/>
  <c r="H11" i="5" s="1"/>
  <c r="G9" i="5"/>
  <c r="F9" i="5"/>
  <c r="E9" i="5"/>
  <c r="D9" i="5"/>
  <c r="K5" i="5"/>
  <c r="J5" i="5"/>
  <c r="J7" i="5" s="1"/>
  <c r="I5" i="5"/>
  <c r="H5" i="5"/>
  <c r="H7" i="5" s="1"/>
  <c r="G5" i="5"/>
  <c r="F5" i="5"/>
  <c r="E5" i="5"/>
  <c r="E7" i="5" s="1"/>
  <c r="D5" i="5"/>
  <c r="K8" i="5"/>
  <c r="K11" i="5" s="1"/>
  <c r="J8" i="5"/>
  <c r="J11" i="5" s="1"/>
  <c r="I8" i="5"/>
  <c r="H8" i="5"/>
  <c r="G8" i="5"/>
  <c r="F8" i="5"/>
  <c r="E8" i="5"/>
  <c r="D8" i="5"/>
  <c r="D11" i="5" s="1"/>
  <c r="K4" i="5"/>
  <c r="J4" i="5"/>
  <c r="I4" i="5"/>
  <c r="I7" i="5" s="1"/>
  <c r="H4" i="5"/>
  <c r="G4" i="5"/>
  <c r="F4" i="5"/>
  <c r="E4" i="5"/>
  <c r="D4" i="5"/>
  <c r="C4" i="5"/>
  <c r="C7" i="5" s="1"/>
  <c r="B4" i="5"/>
  <c r="G7" i="5"/>
  <c r="K22" i="5"/>
  <c r="I22" i="5"/>
  <c r="H22" i="5"/>
  <c r="G22" i="5"/>
  <c r="B18" i="5"/>
  <c r="G18" i="5"/>
  <c r="D18" i="5"/>
  <c r="C11" i="5"/>
  <c r="B11" i="5"/>
  <c r="G11" i="5"/>
  <c r="D7" i="5"/>
  <c r="B7" i="5"/>
  <c r="K17" i="4"/>
  <c r="K21" i="4"/>
  <c r="J21" i="4"/>
  <c r="I21" i="4"/>
  <c r="H21" i="4"/>
  <c r="G21" i="4"/>
  <c r="F21" i="4"/>
  <c r="E21" i="4"/>
  <c r="D21" i="4"/>
  <c r="D22" i="4" s="1"/>
  <c r="C21" i="4"/>
  <c r="B21" i="4"/>
  <c r="J17" i="4"/>
  <c r="I17" i="4"/>
  <c r="H17" i="4"/>
  <c r="G17" i="4"/>
  <c r="F17" i="4"/>
  <c r="E17" i="4"/>
  <c r="D17" i="4"/>
  <c r="C17" i="4"/>
  <c r="B17" i="4"/>
  <c r="K20" i="4"/>
  <c r="J20" i="4"/>
  <c r="I20" i="4"/>
  <c r="H20" i="4"/>
  <c r="G20" i="4"/>
  <c r="F20" i="4"/>
  <c r="E20" i="4"/>
  <c r="D20" i="4"/>
  <c r="C20" i="4"/>
  <c r="B20" i="4"/>
  <c r="K16" i="4"/>
  <c r="J16" i="4"/>
  <c r="J18" i="4" s="1"/>
  <c r="I16" i="4"/>
  <c r="H16" i="4"/>
  <c r="H18" i="4" s="1"/>
  <c r="G16" i="4"/>
  <c r="F16" i="4"/>
  <c r="E16" i="4"/>
  <c r="D16" i="4"/>
  <c r="C16" i="4"/>
  <c r="B16" i="4"/>
  <c r="K19" i="4"/>
  <c r="J19" i="4"/>
  <c r="J22" i="4" s="1"/>
  <c r="I19" i="4"/>
  <c r="H19" i="4"/>
  <c r="G19" i="4"/>
  <c r="F19" i="4"/>
  <c r="E19" i="4"/>
  <c r="D19" i="4"/>
  <c r="C19" i="4"/>
  <c r="C22" i="4" s="1"/>
  <c r="B19" i="4"/>
  <c r="K15" i="4"/>
  <c r="J15" i="4"/>
  <c r="I15" i="4"/>
  <c r="I18" i="4" s="1"/>
  <c r="H15" i="4"/>
  <c r="G15" i="4"/>
  <c r="F15" i="4"/>
  <c r="F18" i="4" s="1"/>
  <c r="E15" i="4"/>
  <c r="E18" i="4" s="1"/>
  <c r="D15" i="4"/>
  <c r="D18" i="4" s="1"/>
  <c r="C15" i="4"/>
  <c r="B15" i="4"/>
  <c r="K10" i="4"/>
  <c r="J10" i="4"/>
  <c r="I10" i="4"/>
  <c r="H10" i="4"/>
  <c r="G10" i="4"/>
  <c r="F10" i="4"/>
  <c r="E10" i="4"/>
  <c r="D10" i="4"/>
  <c r="K6" i="4"/>
  <c r="J6" i="4"/>
  <c r="I6" i="4"/>
  <c r="H6" i="4"/>
  <c r="G6" i="4"/>
  <c r="F6" i="4"/>
  <c r="E6" i="4"/>
  <c r="K9" i="4"/>
  <c r="J9" i="4"/>
  <c r="I9" i="4"/>
  <c r="H9" i="4"/>
  <c r="G9" i="4"/>
  <c r="F9" i="4"/>
  <c r="E9" i="4"/>
  <c r="D9" i="4"/>
  <c r="K5" i="4"/>
  <c r="J5" i="4"/>
  <c r="J7" i="4" s="1"/>
  <c r="I5" i="4"/>
  <c r="H5" i="4"/>
  <c r="G5" i="4"/>
  <c r="F5" i="4"/>
  <c r="E5" i="4"/>
  <c r="K8" i="4"/>
  <c r="J8" i="4"/>
  <c r="J11" i="4" s="1"/>
  <c r="I8" i="4"/>
  <c r="I11" i="4" s="1"/>
  <c r="H8" i="4"/>
  <c r="G8" i="4"/>
  <c r="F8" i="4"/>
  <c r="E8" i="4"/>
  <c r="K4" i="4"/>
  <c r="J4" i="4"/>
  <c r="I4" i="4"/>
  <c r="I7" i="4" s="1"/>
  <c r="H4" i="4"/>
  <c r="G4" i="4"/>
  <c r="F4" i="4"/>
  <c r="E4" i="4"/>
  <c r="G22" i="4"/>
  <c r="H22" i="4"/>
  <c r="C18" i="4"/>
  <c r="B18" i="4"/>
  <c r="D11" i="4"/>
  <c r="C11" i="4"/>
  <c r="B11" i="4"/>
  <c r="C7" i="4"/>
  <c r="D7" i="4"/>
  <c r="H7" i="4"/>
  <c r="B7" i="4"/>
  <c r="J22" i="5" l="1"/>
  <c r="K18" i="5"/>
  <c r="D22" i="5"/>
  <c r="F7" i="5"/>
  <c r="G11" i="4"/>
  <c r="K18" i="4"/>
  <c r="F22" i="4"/>
  <c r="B22" i="4"/>
  <c r="F11" i="4"/>
  <c r="K11" i="4"/>
  <c r="E11" i="4"/>
  <c r="G18" i="4"/>
  <c r="I22" i="4"/>
  <c r="K22" i="4"/>
  <c r="E22" i="4"/>
  <c r="H11" i="4"/>
  <c r="G7" i="4"/>
  <c r="E7" i="4"/>
  <c r="K7" i="4"/>
  <c r="F7" i="4"/>
</calcChain>
</file>

<file path=xl/sharedStrings.xml><?xml version="1.0" encoding="utf-8"?>
<sst xmlns="http://schemas.openxmlformats.org/spreadsheetml/2006/main" count="36" uniqueCount="21">
  <si>
    <t>correnteA</t>
  </si>
  <si>
    <t>correnteB</t>
  </si>
  <si>
    <t>pwm</t>
  </si>
  <si>
    <t>MediaA</t>
  </si>
  <si>
    <t>MediaB</t>
  </si>
  <si>
    <t>Identificando</t>
  </si>
  <si>
    <t>Validando Modelo</t>
  </si>
  <si>
    <t>correnteEsperada</t>
  </si>
  <si>
    <t>MédiaA</t>
  </si>
  <si>
    <t>MédiaB</t>
  </si>
  <si>
    <t>Volt = 12.3V</t>
  </si>
  <si>
    <t>Experimento realizado em casa com a janela fechada e a porta aberta</t>
  </si>
  <si>
    <t>Experimento realizado no dia 03/08/2021 às 22:53</t>
  </si>
  <si>
    <t>Experimento realizado no dia 04/08/2021 às 12:17</t>
  </si>
  <si>
    <t>Experimento realizado no laboratório com a porta fechada e ar condicionado no 16</t>
  </si>
  <si>
    <t>Experimento realizado no dia 09/08/2021 às 10:50</t>
  </si>
  <si>
    <t>Volt = 12.6V</t>
  </si>
  <si>
    <t>Experimento realizado no dia 09/08/2021 às 11:20</t>
  </si>
  <si>
    <t>Motor A</t>
  </si>
  <si>
    <t>Motor B</t>
  </si>
  <si>
    <t>Corrente Desejada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</si>
</sst>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Validando</a:t>
            </a:r>
            <a:r>
              <a:rPr lang="pt-BR" baseline="0"/>
              <a:t> o modelo dos motores - Corrente esperada x Corrente consumida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'Casa 03-08-2021'!$A$14</c:f>
              <c:strCache>
                <c:ptCount val="1"/>
                <c:pt idx="0">
                  <c:v>correnteEsperada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'Casa 03-08-2021'!$B$14:$K$14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E-4C8A-89FF-9F9E9855D08C}"/>
            </c:ext>
          </c:extLst>
        </c:ser>
        <c:ser>
          <c:idx val="1"/>
          <c:order val="1"/>
          <c:tx>
            <c:strRef>
              <c:f>'Casa 03-08-2021'!$A$18</c:f>
              <c:strCache>
                <c:ptCount val="1"/>
                <c:pt idx="0">
                  <c:v>MédiaA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'Casa 03-08-2021'!$B$18:$K$18</c:f>
              <c:numCache>
                <c:formatCode>0.00</c:formatCode>
                <c:ptCount val="10"/>
                <c:pt idx="0">
                  <c:v>0.42333333333333334</c:v>
                </c:pt>
                <c:pt idx="1">
                  <c:v>0.78333333333333333</c:v>
                </c:pt>
                <c:pt idx="2">
                  <c:v>1.1900000000000002</c:v>
                </c:pt>
                <c:pt idx="3">
                  <c:v>1.5599999999999998</c:v>
                </c:pt>
                <c:pt idx="4">
                  <c:v>1.8800000000000001</c:v>
                </c:pt>
                <c:pt idx="5">
                  <c:v>2.3566666666666665</c:v>
                </c:pt>
                <c:pt idx="6">
                  <c:v>2.78</c:v>
                </c:pt>
                <c:pt idx="7">
                  <c:v>3.2533333333333334</c:v>
                </c:pt>
                <c:pt idx="8">
                  <c:v>3.6033333333333335</c:v>
                </c:pt>
                <c:pt idx="9">
                  <c:v>3.8566666666666669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E-4C8A-89FF-9F9E9855D08C}"/>
            </c:ext>
          </c:extLst>
        </c:ser>
        <c:ser>
          <c:idx val="2"/>
          <c:order val="2"/>
          <c:tx>
            <c:strRef>
              <c:f>'Casa 03-08-2021'!$A$22</c:f>
              <c:strCache>
                <c:ptCount val="1"/>
                <c:pt idx="0">
                  <c:v>MédiaB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'Casa 03-08-2021'!$B$22:$K$22</c:f>
              <c:numCache>
                <c:formatCode>0.00</c:formatCode>
                <c:ptCount val="10"/>
                <c:pt idx="0">
                  <c:v>0.41666666666666669</c:v>
                </c:pt>
                <c:pt idx="1">
                  <c:v>0.79</c:v>
                </c:pt>
                <c:pt idx="2">
                  <c:v>1.1966666666666665</c:v>
                </c:pt>
                <c:pt idx="3">
                  <c:v>1.5333333333333332</c:v>
                </c:pt>
                <c:pt idx="4">
                  <c:v>1.89</c:v>
                </c:pt>
                <c:pt idx="5">
                  <c:v>2.2733333333333334</c:v>
                </c:pt>
                <c:pt idx="6">
                  <c:v>2.7766666666666668</c:v>
                </c:pt>
                <c:pt idx="7">
                  <c:v>3.206666666666667</c:v>
                </c:pt>
                <c:pt idx="8">
                  <c:v>3.6866666666666661</c:v>
                </c:pt>
                <c:pt idx="9">
                  <c:v>4.0233333333333325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E-4C8A-89FF-9F9E9855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24784"/>
        <c:axId val="1110221040"/>
      </c:lineChart>
      <c:catAx>
        <c:axId val="11102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1040"/>
        <c:crosses val="autoZero"/>
        <c:auto val="1"/>
        <c:lblAlgn val="ctr"/>
        <c:lblOffset val="100"/>
        <c:noMultiLvlLbl val="0"/>
      </c:catAx>
      <c:valAx>
        <c:axId val="11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69376005418679E-2"/>
          <c:y val="4.2056856187290971E-2"/>
          <c:w val="0.78424191431716195"/>
          <c:h val="0.840110297667641"/>
        </c:manualLayout>
      </c:layout>
      <c:lineChart>
        <c:grouping val="standard"/>
        <c:varyColors val="0"/>
        <c:ser>
          <c:idx val="0"/>
          <c:order val="0"/>
          <c:tx>
            <c:strRef>
              <c:f>'Laboratório 09-08-2021'!$A$14</c:f>
              <c:strCache>
                <c:ptCount val="1"/>
                <c:pt idx="0">
                  <c:v>Corrente Desejada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'Laboratório 09-08-2021'!$B$14:$K$14</c:f>
              <c:numCache>
                <c:formatCode>General</c:formatCode>
                <c:ptCount val="10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C-4A2C-A5D0-96BEDE662C7B}"/>
            </c:ext>
          </c:extLst>
        </c:ser>
        <c:ser>
          <c:idx val="1"/>
          <c:order val="1"/>
          <c:tx>
            <c:strRef>
              <c:f>'Laboratório 09-08-2021'!$A$18</c:f>
              <c:strCache>
                <c:ptCount val="1"/>
                <c:pt idx="0">
                  <c:v>Motor 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'Laboratório 09-08-2021'!$B$18:$K$18</c:f>
              <c:numCache>
                <c:formatCode>0.00</c:formatCode>
                <c:ptCount val="10"/>
                <c:pt idx="0">
                  <c:v>0.5033333333333333</c:v>
                </c:pt>
                <c:pt idx="1">
                  <c:v>0.89999999999999991</c:v>
                </c:pt>
                <c:pt idx="2">
                  <c:v>1.2833333333333332</c:v>
                </c:pt>
                <c:pt idx="3">
                  <c:v>1.6666666666666667</c:v>
                </c:pt>
                <c:pt idx="4">
                  <c:v>2.0033333333333334</c:v>
                </c:pt>
                <c:pt idx="5">
                  <c:v>2.4266666666666672</c:v>
                </c:pt>
                <c:pt idx="6">
                  <c:v>2.9000000000000004</c:v>
                </c:pt>
                <c:pt idx="7">
                  <c:v>3.313333333333333</c:v>
                </c:pt>
                <c:pt idx="8">
                  <c:v>3.65</c:v>
                </c:pt>
                <c:pt idx="9">
                  <c:v>3.9433333333333334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C-4A2C-A5D0-96BEDE662C7B}"/>
            </c:ext>
          </c:extLst>
        </c:ser>
        <c:ser>
          <c:idx val="2"/>
          <c:order val="2"/>
          <c:tx>
            <c:strRef>
              <c:f>'Laboratório 09-08-2021'!$A$22</c:f>
              <c:strCache>
                <c:ptCount val="1"/>
                <c:pt idx="0">
                  <c:v>Motor 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'Laboratório 09-08-2021'!$B$22:$K$22</c:f>
              <c:numCache>
                <c:formatCode>0.00</c:formatCode>
                <c:ptCount val="10"/>
                <c:pt idx="0">
                  <c:v>0.42</c:v>
                </c:pt>
                <c:pt idx="1">
                  <c:v>0.79666666666666675</c:v>
                </c:pt>
                <c:pt idx="2">
                  <c:v>1.2033333333333334</c:v>
                </c:pt>
                <c:pt idx="3">
                  <c:v>1.5533333333333335</c:v>
                </c:pt>
                <c:pt idx="4">
                  <c:v>1.8499999999999999</c:v>
                </c:pt>
                <c:pt idx="5">
                  <c:v>2.3233333333333337</c:v>
                </c:pt>
                <c:pt idx="6">
                  <c:v>2.7533333333333334</c:v>
                </c:pt>
                <c:pt idx="7">
                  <c:v>3.1766666666666663</c:v>
                </c:pt>
                <c:pt idx="8">
                  <c:v>3.6300000000000003</c:v>
                </c:pt>
                <c:pt idx="9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C-4A2C-A5D0-96BEDE66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24784"/>
        <c:axId val="1110221040"/>
      </c:lineChart>
      <c:catAx>
        <c:axId val="11102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da corrente</a:t>
                </a:r>
                <a:r>
                  <a:rPr lang="pt-BR" baseline="0"/>
                  <a:t> desejada (%)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1040"/>
        <c:crosses val="autoZero"/>
        <c:auto val="1"/>
        <c:lblAlgn val="ctr"/>
        <c:lblOffset val="100"/>
        <c:noMultiLvlLbl val="0"/>
      </c:catAx>
      <c:valAx>
        <c:axId val="11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2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859474218948439"/>
          <c:y val="0.37325775331595257"/>
          <c:w val="0.13294479193125053"/>
          <c:h val="0.21704325002852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8670166229223"/>
          <c:y val="5.0925925925925923E-2"/>
          <c:w val="0.68993982826716438"/>
          <c:h val="0.78111840186643333"/>
        </c:manualLayout>
      </c:layout>
      <c:lineChart>
        <c:grouping val="standard"/>
        <c:varyColors val="0"/>
        <c:ser>
          <c:idx val="1"/>
          <c:order val="0"/>
          <c:tx>
            <c:strRef>
              <c:f>'Laboratório 09-08-2021'!$A$7</c:f>
              <c:strCache>
                <c:ptCount val="1"/>
                <c:pt idx="0">
                  <c:v>Motor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'Laboratório 09-08-2021'!$B$3:$K$3</c15:sqref>
                  </c15:fullRef>
                </c:ext>
              </c:extLst>
              <c:f>'Laboratório 09-08-2021'!$C$3:$K$3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'Laboratório 09-08-2021'!$B$7:$K$7</c15:sqref>
                  </c15:fullRef>
                </c:ext>
              </c:extLst>
              <c:f>'Laboratório 09-08-2021'!$C$7:$K$7</c:f>
              <c:numCache>
                <c:formatCode>0.00</c:formatCode>
                <c:ptCount val="9"/>
                <c:pt idx="0">
                  <c:v>0.11666666666666665</c:v>
                </c:pt>
                <c:pt idx="1">
                  <c:v>0.45333333333333331</c:v>
                </c:pt>
                <c:pt idx="2">
                  <c:v>0.73666666666666669</c:v>
                </c:pt>
                <c:pt idx="3">
                  <c:v>1.07</c:v>
                </c:pt>
                <c:pt idx="4">
                  <c:v>1.4366666666666668</c:v>
                </c:pt>
                <c:pt idx="5">
                  <c:v>1.78</c:v>
                </c:pt>
                <c:pt idx="6">
                  <c:v>2.3766666666666665</c:v>
                </c:pt>
                <c:pt idx="7">
                  <c:v>3.1733333333333333</c:v>
                </c:pt>
                <c:pt idx="8">
                  <c:v>4.0600000000000005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140-8656-D28F74A0C53C}"/>
            </c:ext>
          </c:extLst>
        </c:ser>
        <c:ser>
          <c:idx val="2"/>
          <c:order val="1"/>
          <c:tx>
            <c:strRef>
              <c:f>'Laboratório 09-08-2021'!$A$11</c:f>
              <c:strCache>
                <c:ptCount val="1"/>
                <c:pt idx="0">
                  <c:v>Motor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'Laboratório 09-08-2021'!$B$3:$K$3</c15:sqref>
                  </c15:fullRef>
                </c:ext>
              </c:extLst>
              <c:f>'Laboratório 09-08-2021'!$C$3:$K$3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'Laboratório 09-08-2021'!$B$11:$K$11</c15:sqref>
                  </c15:fullRef>
                </c:ext>
              </c:extLst>
              <c:f>'Laboratório 09-08-2021'!$C$11:$K$11</c:f>
              <c:numCache>
                <c:formatCode>0.00</c:formatCode>
                <c:ptCount val="9"/>
                <c:pt idx="0">
                  <c:v>0.12333333333333334</c:v>
                </c:pt>
                <c:pt idx="1">
                  <c:v>0.55333333333333334</c:v>
                </c:pt>
                <c:pt idx="2">
                  <c:v>0.97666666666666657</c:v>
                </c:pt>
                <c:pt idx="3">
                  <c:v>1.4566666666666668</c:v>
                </c:pt>
                <c:pt idx="4">
                  <c:v>1.9900000000000002</c:v>
                </c:pt>
                <c:pt idx="5">
                  <c:v>2.9466666666666668</c:v>
                </c:pt>
                <c:pt idx="6">
                  <c:v>4.16</c:v>
                </c:pt>
                <c:pt idx="7">
                  <c:v>5.44</c:v>
                </c:pt>
                <c:pt idx="8">
                  <c:v>6.8599999999999994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140-8656-D28F74A0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220063"/>
        <c:axId val="1671221727"/>
      </c:lineChart>
      <c:catAx>
        <c:axId val="167122006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221727"/>
        <c:crosses val="autoZero"/>
        <c:auto val="1"/>
        <c:lblAlgn val="ctr"/>
        <c:lblOffset val="100"/>
        <c:noMultiLvlLbl val="0"/>
      </c:catAx>
      <c:valAx>
        <c:axId val="1671221727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Consumida</a:t>
                </a:r>
                <a:r>
                  <a:rPr lang="pt-BR" baseline="0"/>
                  <a:t> (A)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2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82022251998612"/>
          <c:y val="0.30613371245261012"/>
          <c:w val="0.14946196734968362"/>
          <c:h val="0.281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99060</xdr:rowOff>
    </xdr:from>
    <xdr:to>
      <xdr:col>12</xdr:col>
      <xdr:colOff>205740</xdr:colOff>
      <xdr:row>46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AF2709-5D0A-40BC-A6EE-D165025AE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22</xdr:row>
      <xdr:rowOff>99060</xdr:rowOff>
    </xdr:from>
    <xdr:to>
      <xdr:col>10</xdr:col>
      <xdr:colOff>352425</xdr:colOff>
      <xdr:row>46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2C69E-C976-4695-B92E-303E37CE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409574</xdr:colOff>
      <xdr:row>13</xdr:row>
      <xdr:rowOff>42862</xdr:rowOff>
    </xdr:from>
    <xdr:to>
      <xdr:col>23</xdr:col>
      <xdr:colOff>514349</xdr:colOff>
      <xdr:row>27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37DE23-4D90-40A3-9250-C8DF2C2F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E557-E71B-4A5C-8772-37432EA7E32D}">
  <dimension ref="A1:L22"/>
  <sheetViews>
    <sheetView workbookViewId="0">
      <selection activeCell="O2" sqref="O2"/>
    </sheetView>
  </sheetViews>
  <sheetFormatPr defaultRowHeight="15" x14ac:dyDescent="0.25"/>
  <cols>
    <col min="1" max="1" width="12" bestFit="1" customWidth="1"/>
  </cols>
  <sheetData>
    <row r="1" spans="1:12" x14ac:dyDescent="0.25">
      <c r="A1" s="2" t="s">
        <v>5</v>
      </c>
      <c r="B1" s="3"/>
      <c r="C1" s="3" t="s">
        <v>11</v>
      </c>
      <c r="D1" s="3"/>
      <c r="E1" s="3"/>
      <c r="F1" s="3"/>
      <c r="G1" s="3"/>
      <c r="H1" s="3"/>
      <c r="I1" s="3"/>
      <c r="J1" s="3"/>
      <c r="K1" s="3"/>
    </row>
    <row r="2" spans="1:12" x14ac:dyDescent="0.25">
      <c r="A2" s="3" t="s">
        <v>10</v>
      </c>
      <c r="B2" s="3"/>
      <c r="C2" s="3" t="s">
        <v>12</v>
      </c>
      <c r="D2" s="3"/>
      <c r="E2" s="3"/>
      <c r="F2" s="3"/>
      <c r="G2" s="3"/>
      <c r="H2" s="3"/>
      <c r="I2" s="3"/>
      <c r="J2" s="3"/>
      <c r="K2" s="3"/>
    </row>
    <row r="3" spans="1:12" x14ac:dyDescent="0.25">
      <c r="A3" s="4" t="s">
        <v>2</v>
      </c>
      <c r="B3" s="4">
        <v>17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</row>
    <row r="4" spans="1:12" x14ac:dyDescent="0.25">
      <c r="A4" s="4" t="s">
        <v>0</v>
      </c>
      <c r="B4" s="4">
        <v>0.12</v>
      </c>
      <c r="C4" s="4">
        <v>0.12</v>
      </c>
      <c r="D4" s="4">
        <v>0.45</v>
      </c>
      <c r="E4" s="4">
        <f>0.39+0.33</f>
        <v>0.72</v>
      </c>
      <c r="F4" s="4">
        <f>0.58+0.47</f>
        <v>1.0499999999999998</v>
      </c>
      <c r="G4" s="4">
        <f>0.79+0.62</f>
        <v>1.4100000000000001</v>
      </c>
      <c r="H4" s="4">
        <f>0.98+0.76</f>
        <v>1.74</v>
      </c>
      <c r="I4" s="4">
        <f>1.28+0.99</f>
        <v>2.27</v>
      </c>
      <c r="J4" s="4">
        <f>1.72+1.31</f>
        <v>3.0300000000000002</v>
      </c>
      <c r="K4" s="4">
        <f>2.2+1.67</f>
        <v>3.87</v>
      </c>
      <c r="L4" s="1"/>
    </row>
    <row r="5" spans="1:12" x14ac:dyDescent="0.25">
      <c r="A5" s="4"/>
      <c r="B5" s="4">
        <v>0.12</v>
      </c>
      <c r="C5" s="4">
        <v>0.12</v>
      </c>
      <c r="D5" s="4">
        <v>0.46</v>
      </c>
      <c r="E5" s="4">
        <f>0.42+0.31</f>
        <v>0.73</v>
      </c>
      <c r="F5" s="4">
        <f>0.61+0.46</f>
        <v>1.07</v>
      </c>
      <c r="G5" s="4">
        <f>0.82+0.61</f>
        <v>1.43</v>
      </c>
      <c r="H5" s="4">
        <f>1.01+0.75</f>
        <v>1.76</v>
      </c>
      <c r="I5" s="4">
        <f>1.33+0.98</f>
        <v>2.31</v>
      </c>
      <c r="J5" s="4">
        <f>1.77+1.31</f>
        <v>3.08</v>
      </c>
      <c r="K5" s="4">
        <f>2.25+1.66</f>
        <v>3.91</v>
      </c>
    </row>
    <row r="6" spans="1:12" x14ac:dyDescent="0.25">
      <c r="A6" s="4"/>
      <c r="B6" s="4">
        <v>0.12</v>
      </c>
      <c r="C6" s="4">
        <v>0.12</v>
      </c>
      <c r="D6" s="4">
        <v>0.46</v>
      </c>
      <c r="E6" s="4">
        <f>0.39+0.34</f>
        <v>0.73</v>
      </c>
      <c r="F6" s="4">
        <f>0.58+0.49</f>
        <v>1.0699999999999998</v>
      </c>
      <c r="G6" s="4">
        <f>0.78+0.65</f>
        <v>1.4300000000000002</v>
      </c>
      <c r="H6" s="4">
        <f>0.97+0.79</f>
        <v>1.76</v>
      </c>
      <c r="I6" s="4">
        <f>1.29+1.02</f>
        <v>2.31</v>
      </c>
      <c r="J6" s="4">
        <f>1.71+1.35</f>
        <v>3.06</v>
      </c>
      <c r="K6" s="4">
        <f>2.21+1.72</f>
        <v>3.9299999999999997</v>
      </c>
    </row>
    <row r="7" spans="1:12" x14ac:dyDescent="0.25">
      <c r="A7" s="4" t="s">
        <v>3</v>
      </c>
      <c r="B7" s="5">
        <f>AVERAGE(B4:B6)</f>
        <v>0.12</v>
      </c>
      <c r="C7" s="5">
        <f t="shared" ref="C7:K7" si="0">AVERAGE(C4:C6)</f>
        <v>0.12</v>
      </c>
      <c r="D7" s="5">
        <f t="shared" si="0"/>
        <v>0.45666666666666672</v>
      </c>
      <c r="E7" s="5">
        <f t="shared" si="0"/>
        <v>0.72666666666666657</v>
      </c>
      <c r="F7" s="5">
        <f t="shared" si="0"/>
        <v>1.0633333333333332</v>
      </c>
      <c r="G7" s="5">
        <f t="shared" si="0"/>
        <v>1.4233333333333331</v>
      </c>
      <c r="H7" s="5">
        <f t="shared" si="0"/>
        <v>1.7533333333333332</v>
      </c>
      <c r="I7" s="5">
        <f t="shared" si="0"/>
        <v>2.2966666666666669</v>
      </c>
      <c r="J7" s="5">
        <f t="shared" si="0"/>
        <v>3.0566666666666666</v>
      </c>
      <c r="K7" s="5">
        <f t="shared" si="0"/>
        <v>3.9033333333333338</v>
      </c>
    </row>
    <row r="8" spans="1:12" x14ac:dyDescent="0.25">
      <c r="A8" s="4" t="s">
        <v>1</v>
      </c>
      <c r="B8" s="4">
        <v>0.12</v>
      </c>
      <c r="C8" s="4">
        <v>0.12</v>
      </c>
      <c r="D8" s="4">
        <v>0.56000000000000005</v>
      </c>
      <c r="E8" s="4">
        <f>0.54+0.42</f>
        <v>0.96</v>
      </c>
      <c r="F8" s="4">
        <f>0.82+0.63</f>
        <v>1.45</v>
      </c>
      <c r="G8" s="4">
        <f>1.11+0.84</f>
        <v>1.9500000000000002</v>
      </c>
      <c r="H8" s="4">
        <f>1.63+1.22</f>
        <v>2.8499999999999996</v>
      </c>
      <c r="I8" s="4">
        <f>2.34+1.74</f>
        <v>4.08</v>
      </c>
      <c r="J8" s="4">
        <f>3.02+2.25</f>
        <v>5.27</v>
      </c>
      <c r="K8" s="4">
        <f>3.85+2.88</f>
        <v>6.73</v>
      </c>
    </row>
    <row r="9" spans="1:12" x14ac:dyDescent="0.25">
      <c r="A9" s="4"/>
      <c r="B9" s="4">
        <v>0.12</v>
      </c>
      <c r="C9" s="4">
        <v>0.12</v>
      </c>
      <c r="D9" s="4">
        <f>0.32+0.24</f>
        <v>0.56000000000000005</v>
      </c>
      <c r="E9" s="4">
        <f>0.55+0.42</f>
        <v>0.97</v>
      </c>
      <c r="F9" s="4">
        <f>0.82+0.62</f>
        <v>1.44</v>
      </c>
      <c r="G9" s="4">
        <f>1.12+0.84</f>
        <v>1.96</v>
      </c>
      <c r="H9" s="4">
        <f>1.67+1.24</f>
        <v>2.91</v>
      </c>
      <c r="I9" s="4">
        <f>2.36+1.76</f>
        <v>4.12</v>
      </c>
      <c r="J9" s="4">
        <f>3.02+2.26</f>
        <v>5.2799999999999994</v>
      </c>
      <c r="K9" s="4">
        <f>3.82+2.89</f>
        <v>6.71</v>
      </c>
    </row>
    <row r="10" spans="1:12" x14ac:dyDescent="0.25">
      <c r="A10" s="4"/>
      <c r="B10" s="4">
        <v>0.12</v>
      </c>
      <c r="C10" s="4">
        <v>0.12</v>
      </c>
      <c r="D10" s="4">
        <f>0.28+0.27</f>
        <v>0.55000000000000004</v>
      </c>
      <c r="E10" s="4">
        <f>0.52+0.45</f>
        <v>0.97</v>
      </c>
      <c r="F10" s="4">
        <f>0.79+0.66</f>
        <v>1.4500000000000002</v>
      </c>
      <c r="G10" s="4">
        <f>1.08+0.88</f>
        <v>1.96</v>
      </c>
      <c r="H10" s="4">
        <f>1.61+1.27</f>
        <v>2.88</v>
      </c>
      <c r="I10" s="4">
        <f>2.33+1.8</f>
        <v>4.13</v>
      </c>
      <c r="J10" s="4">
        <f>3.02+2.28</f>
        <v>5.3</v>
      </c>
      <c r="K10" s="4">
        <f>3.81+2.9</f>
        <v>6.71</v>
      </c>
    </row>
    <row r="11" spans="1:12" x14ac:dyDescent="0.25">
      <c r="A11" s="4" t="s">
        <v>4</v>
      </c>
      <c r="B11" s="5">
        <f>AVERAGE(B8:B10)</f>
        <v>0.12</v>
      </c>
      <c r="C11" s="5">
        <f t="shared" ref="C11" si="1">AVERAGE(C8:C10)</f>
        <v>0.12</v>
      </c>
      <c r="D11" s="5">
        <f t="shared" ref="D11" si="2">AVERAGE(D8:D10)</f>
        <v>0.55666666666666675</v>
      </c>
      <c r="E11" s="5">
        <f t="shared" ref="E11" si="3">AVERAGE(E8:E10)</f>
        <v>0.96666666666666667</v>
      </c>
      <c r="F11" s="5">
        <f t="shared" ref="F11" si="4">AVERAGE(F8:F10)</f>
        <v>1.4466666666666665</v>
      </c>
      <c r="G11" s="5">
        <f t="shared" ref="G11" si="5">AVERAGE(G8:G10)</f>
        <v>1.9566666666666668</v>
      </c>
      <c r="H11" s="5">
        <f t="shared" ref="H11" si="6">AVERAGE(H8:H10)</f>
        <v>2.8800000000000003</v>
      </c>
      <c r="I11" s="5">
        <f t="shared" ref="I11" si="7">AVERAGE(I8:I10)</f>
        <v>4.1099999999999994</v>
      </c>
      <c r="J11" s="5">
        <f t="shared" ref="J11" si="8">AVERAGE(J8:J10)</f>
        <v>5.2833333333333323</v>
      </c>
      <c r="K11" s="5">
        <f t="shared" ref="K11" si="9">AVERAGE(K8:K10)</f>
        <v>6.7166666666666677</v>
      </c>
    </row>
    <row r="12" spans="1:12" s="3" customFormat="1" x14ac:dyDescent="0.25">
      <c r="A12" s="2" t="s">
        <v>6</v>
      </c>
      <c r="C12" s="3" t="s">
        <v>11</v>
      </c>
    </row>
    <row r="13" spans="1:12" s="3" customFormat="1" x14ac:dyDescent="0.25">
      <c r="A13" s="3" t="s">
        <v>10</v>
      </c>
      <c r="C13" s="3" t="s">
        <v>13</v>
      </c>
    </row>
    <row r="14" spans="1:12" s="3" customFormat="1" x14ac:dyDescent="0.25">
      <c r="A14" s="4" t="s">
        <v>7</v>
      </c>
      <c r="B14" s="4">
        <v>0.4</v>
      </c>
      <c r="C14" s="4">
        <v>0.8</v>
      </c>
      <c r="D14" s="4">
        <v>1.2</v>
      </c>
      <c r="E14" s="4">
        <v>1.6</v>
      </c>
      <c r="F14" s="4">
        <v>2</v>
      </c>
      <c r="G14" s="4">
        <v>2.4</v>
      </c>
      <c r="H14" s="4">
        <v>2.8</v>
      </c>
      <c r="I14" s="4">
        <v>3.2</v>
      </c>
      <c r="J14" s="4">
        <v>3.6</v>
      </c>
      <c r="K14" s="4">
        <v>4</v>
      </c>
    </row>
    <row r="15" spans="1:12" s="3" customFormat="1" x14ac:dyDescent="0.25">
      <c r="A15" s="4" t="s">
        <v>0</v>
      </c>
      <c r="B15" s="4">
        <f>0.23+0.18</f>
        <v>0.41000000000000003</v>
      </c>
      <c r="C15" s="4">
        <f>0.43+0.33</f>
        <v>0.76</v>
      </c>
      <c r="D15" s="4">
        <f>0.67+0.51</f>
        <v>1.1800000000000002</v>
      </c>
      <c r="E15" s="4">
        <f>0.88+0.67</f>
        <v>1.55</v>
      </c>
      <c r="F15" s="4">
        <f>1.08+0.8</f>
        <v>1.8800000000000001</v>
      </c>
      <c r="G15" s="4">
        <f>1.35+0.99</f>
        <v>2.34</v>
      </c>
      <c r="H15" s="4">
        <f>1.59+1.16</f>
        <v>2.75</v>
      </c>
      <c r="I15" s="4">
        <f>1.87+1.36</f>
        <v>3.2300000000000004</v>
      </c>
      <c r="J15" s="4">
        <f>2.07+1.51</f>
        <v>3.58</v>
      </c>
      <c r="K15" s="4">
        <f>2.23+1.62</f>
        <v>3.85</v>
      </c>
    </row>
    <row r="16" spans="1:12" s="3" customFormat="1" x14ac:dyDescent="0.25">
      <c r="A16" s="4"/>
      <c r="B16" s="4">
        <f>0.26+0.17</f>
        <v>0.43000000000000005</v>
      </c>
      <c r="C16" s="4">
        <f>0.47+0.32</f>
        <v>0.79</v>
      </c>
      <c r="D16" s="4">
        <f>0.7+0.49</f>
        <v>1.19</v>
      </c>
      <c r="E16" s="4">
        <f>0.92+0.65</f>
        <v>1.57</v>
      </c>
      <c r="F16" s="4">
        <f>1.1+0.78</f>
        <v>1.8800000000000001</v>
      </c>
      <c r="G16" s="4">
        <f>1.38+0.98</f>
        <v>2.36</v>
      </c>
      <c r="H16" s="4">
        <f>1.63+1.16</f>
        <v>2.79</v>
      </c>
      <c r="I16" s="4">
        <f>1.91+1.36</f>
        <v>3.27</v>
      </c>
      <c r="J16" s="4">
        <f>2.1+1.51</f>
        <v>3.6100000000000003</v>
      </c>
      <c r="K16" s="4">
        <f>2.25+1.61</f>
        <v>3.8600000000000003</v>
      </c>
    </row>
    <row r="17" spans="1:11" s="3" customFormat="1" x14ac:dyDescent="0.25">
      <c r="A17" s="4"/>
      <c r="B17" s="4">
        <f>0.26+0.17</f>
        <v>0.43000000000000005</v>
      </c>
      <c r="C17" s="4">
        <f>0.46+0.34</f>
        <v>0.8</v>
      </c>
      <c r="D17" s="4">
        <f>0.69+0.51</f>
        <v>1.2</v>
      </c>
      <c r="E17" s="4">
        <f>0.9+0.66</f>
        <v>1.56</v>
      </c>
      <c r="F17" s="4">
        <f>1.08+0.8</f>
        <v>1.8800000000000001</v>
      </c>
      <c r="G17" s="4">
        <f>1.36+1.01</f>
        <v>2.37</v>
      </c>
      <c r="H17" s="4">
        <f>1.6+1.2</f>
        <v>2.8</v>
      </c>
      <c r="I17" s="4">
        <f>1.87+1.39</f>
        <v>3.26</v>
      </c>
      <c r="J17" s="4">
        <f>2.08+1.54</f>
        <v>3.62</v>
      </c>
      <c r="K17" s="4">
        <f>2.22+1.64</f>
        <v>3.8600000000000003</v>
      </c>
    </row>
    <row r="18" spans="1:11" s="3" customFormat="1" x14ac:dyDescent="0.25">
      <c r="A18" s="4" t="s">
        <v>8</v>
      </c>
      <c r="B18" s="5">
        <f>AVERAGE(B15:B17)</f>
        <v>0.42333333333333334</v>
      </c>
      <c r="C18" s="5">
        <f t="shared" ref="C18" si="10">AVERAGE(C15:C17)</f>
        <v>0.78333333333333333</v>
      </c>
      <c r="D18" s="5">
        <f t="shared" ref="D18" si="11">AVERAGE(D15:D17)</f>
        <v>1.1900000000000002</v>
      </c>
      <c r="E18" s="5">
        <f t="shared" ref="E18" si="12">AVERAGE(E15:E17)</f>
        <v>1.5599999999999998</v>
      </c>
      <c r="F18" s="5">
        <f t="shared" ref="F18" si="13">AVERAGE(F15:F17)</f>
        <v>1.8800000000000001</v>
      </c>
      <c r="G18" s="5">
        <f t="shared" ref="G18" si="14">AVERAGE(G15:G17)</f>
        <v>2.3566666666666665</v>
      </c>
      <c r="H18" s="5">
        <f t="shared" ref="H18" si="15">AVERAGE(H15:H17)</f>
        <v>2.78</v>
      </c>
      <c r="I18" s="5">
        <f t="shared" ref="I18" si="16">AVERAGE(I15:I17)</f>
        <v>3.2533333333333334</v>
      </c>
      <c r="J18" s="5">
        <f t="shared" ref="J18" si="17">AVERAGE(J15:J17)</f>
        <v>3.6033333333333335</v>
      </c>
      <c r="K18" s="5">
        <f t="shared" ref="K18" si="18">AVERAGE(K15:K17)</f>
        <v>3.8566666666666669</v>
      </c>
    </row>
    <row r="19" spans="1:11" s="3" customFormat="1" x14ac:dyDescent="0.25">
      <c r="A19" s="4" t="s">
        <v>1</v>
      </c>
      <c r="B19" s="4">
        <f>0.25+0.16</f>
        <v>0.41000000000000003</v>
      </c>
      <c r="C19" s="4">
        <f>0.46+0.32</f>
        <v>0.78</v>
      </c>
      <c r="D19" s="4">
        <f>0.69+0.5</f>
        <v>1.19</v>
      </c>
      <c r="E19" s="4">
        <f>0.89+0.64</f>
        <v>1.53</v>
      </c>
      <c r="F19" s="4">
        <f>1.1+0.79</f>
        <v>1.8900000000000001</v>
      </c>
      <c r="G19" s="4">
        <f>1.31+0.94</f>
        <v>2.25</v>
      </c>
      <c r="H19" s="4">
        <f>1.62+1.17</f>
        <v>2.79</v>
      </c>
      <c r="I19" s="4">
        <f>1.86+1.35</f>
        <v>3.21</v>
      </c>
      <c r="J19" s="4">
        <f>2.15+1.54</f>
        <v>3.69</v>
      </c>
      <c r="K19" s="4">
        <f>2.36+1.7</f>
        <v>4.0599999999999996</v>
      </c>
    </row>
    <row r="20" spans="1:11" s="3" customFormat="1" x14ac:dyDescent="0.25">
      <c r="A20" s="4"/>
      <c r="B20" s="4">
        <f>0.26+0.16</f>
        <v>0.42000000000000004</v>
      </c>
      <c r="C20" s="4">
        <f>0.47+0.32</f>
        <v>0.79</v>
      </c>
      <c r="D20" s="4">
        <f>0.71+0.49</f>
        <v>1.2</v>
      </c>
      <c r="E20" s="4">
        <f>0.9+0.63</f>
        <v>1.53</v>
      </c>
      <c r="F20" s="4">
        <f>1.11+0.78</f>
        <v>1.8900000000000001</v>
      </c>
      <c r="G20" s="4">
        <f>1.34+0.94</f>
        <v>2.2800000000000002</v>
      </c>
      <c r="H20" s="4">
        <f>1.63+1.16</f>
        <v>2.79</v>
      </c>
      <c r="I20" s="4">
        <f>1.88+1.33</f>
        <v>3.21</v>
      </c>
      <c r="J20" s="4">
        <f>2.15+1.52</f>
        <v>3.67</v>
      </c>
      <c r="K20" s="4">
        <f>2.35+1.67</f>
        <v>4.0199999999999996</v>
      </c>
    </row>
    <row r="21" spans="1:11" s="3" customFormat="1" x14ac:dyDescent="0.25">
      <c r="A21" s="4"/>
      <c r="B21" s="4">
        <f>0.23+0.19</f>
        <v>0.42000000000000004</v>
      </c>
      <c r="C21" s="4">
        <f>0.44+0.36</f>
        <v>0.8</v>
      </c>
      <c r="D21" s="4">
        <f>0.67+0.53</f>
        <v>1.2000000000000002</v>
      </c>
      <c r="E21" s="4">
        <f>0.86+0.68</f>
        <v>1.54</v>
      </c>
      <c r="F21" s="4">
        <f>1.06+0.83</f>
        <v>1.8900000000000001</v>
      </c>
      <c r="G21" s="4">
        <f>1.3+0.99</f>
        <v>2.29</v>
      </c>
      <c r="H21" s="4">
        <f>1.57+1.18</f>
        <v>2.75</v>
      </c>
      <c r="I21" s="4">
        <f>1.83+1.37</f>
        <v>3.2</v>
      </c>
      <c r="J21" s="4">
        <f>2.12+1.58</f>
        <v>3.7</v>
      </c>
      <c r="K21" s="4">
        <f>2.3+1.69</f>
        <v>3.9899999999999998</v>
      </c>
    </row>
    <row r="22" spans="1:11" s="3" customFormat="1" x14ac:dyDescent="0.25">
      <c r="A22" s="4" t="s">
        <v>9</v>
      </c>
      <c r="B22" s="5">
        <f>AVERAGE(B19:B21)</f>
        <v>0.41666666666666669</v>
      </c>
      <c r="C22" s="5">
        <f t="shared" ref="C22" si="19">AVERAGE(C19:C21)</f>
        <v>0.79</v>
      </c>
      <c r="D22" s="5">
        <f t="shared" ref="D22" si="20">AVERAGE(D19:D21)</f>
        <v>1.1966666666666665</v>
      </c>
      <c r="E22" s="5">
        <f t="shared" ref="E22" si="21">AVERAGE(E19:E21)</f>
        <v>1.5333333333333332</v>
      </c>
      <c r="F22" s="5">
        <f t="shared" ref="F22" si="22">AVERAGE(F19:F21)</f>
        <v>1.89</v>
      </c>
      <c r="G22" s="5">
        <f t="shared" ref="G22" si="23">AVERAGE(G19:G21)</f>
        <v>2.2733333333333334</v>
      </c>
      <c r="H22" s="5">
        <f t="shared" ref="H22" si="24">AVERAGE(H19:H21)</f>
        <v>2.7766666666666668</v>
      </c>
      <c r="I22" s="5">
        <f t="shared" ref="I22" si="25">AVERAGE(I19:I21)</f>
        <v>3.206666666666667</v>
      </c>
      <c r="J22" s="5">
        <f t="shared" ref="J22" si="26">AVERAGE(J19:J21)</f>
        <v>3.6866666666666661</v>
      </c>
      <c r="K22" s="5">
        <f t="shared" ref="K22" si="27">AVERAGE(K19:K21)</f>
        <v>4.0233333333333325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7:K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23AF-BC08-4477-91EE-FB2773BC54D5}">
  <dimension ref="A1:L22"/>
  <sheetViews>
    <sheetView tabSelected="1" topLeftCell="A13" workbookViewId="0">
      <selection activeCell="M37" sqref="M37"/>
    </sheetView>
  </sheetViews>
  <sheetFormatPr defaultRowHeight="15" x14ac:dyDescent="0.25"/>
  <cols>
    <col min="1" max="1" width="12" bestFit="1" customWidth="1"/>
  </cols>
  <sheetData>
    <row r="1" spans="1:12" x14ac:dyDescent="0.25">
      <c r="A1" s="2" t="s">
        <v>5</v>
      </c>
      <c r="B1" s="3"/>
      <c r="C1" s="3" t="s">
        <v>14</v>
      </c>
      <c r="D1" s="3"/>
      <c r="E1" s="3"/>
      <c r="F1" s="3"/>
      <c r="G1" s="3"/>
      <c r="H1" s="3"/>
      <c r="I1" s="3"/>
      <c r="J1" s="3"/>
      <c r="K1" s="3"/>
    </row>
    <row r="2" spans="1:12" x14ac:dyDescent="0.25">
      <c r="A2" s="3" t="s">
        <v>16</v>
      </c>
      <c r="B2" s="3"/>
      <c r="C2" s="3" t="s">
        <v>15</v>
      </c>
      <c r="D2" s="3"/>
      <c r="E2" s="3"/>
      <c r="F2" s="3"/>
      <c r="G2" s="3"/>
      <c r="H2" s="3"/>
      <c r="I2" s="3"/>
      <c r="J2" s="3"/>
      <c r="K2" s="3"/>
    </row>
    <row r="3" spans="1:12" x14ac:dyDescent="0.25">
      <c r="A3" s="4" t="s">
        <v>2</v>
      </c>
      <c r="B3" s="4">
        <v>17</v>
      </c>
      <c r="C3" s="4">
        <v>20</v>
      </c>
      <c r="D3" s="4">
        <v>30</v>
      </c>
      <c r="E3" s="4">
        <v>40</v>
      </c>
      <c r="F3" s="4">
        <v>50</v>
      </c>
      <c r="G3" s="4">
        <v>60</v>
      </c>
      <c r="H3" s="4">
        <v>70</v>
      </c>
      <c r="I3" s="4">
        <v>80</v>
      </c>
      <c r="J3" s="4">
        <v>90</v>
      </c>
      <c r="K3" s="4">
        <v>100</v>
      </c>
    </row>
    <row r="4" spans="1:12" x14ac:dyDescent="0.25">
      <c r="A4" s="4" t="s">
        <v>0</v>
      </c>
      <c r="B4" s="4">
        <f>0.06+0.05</f>
        <v>0.11</v>
      </c>
      <c r="C4" s="4">
        <f>0.07+0.05</f>
        <v>0.12000000000000001</v>
      </c>
      <c r="D4" s="4">
        <f>0.25+0.2</f>
        <v>0.45</v>
      </c>
      <c r="E4" s="4">
        <f>0.41+0.32</f>
        <v>0.73</v>
      </c>
      <c r="F4" s="4">
        <f>0.59+0.47</f>
        <v>1.06</v>
      </c>
      <c r="G4" s="4">
        <f>0.79+0.63</f>
        <v>1.42</v>
      </c>
      <c r="H4" s="4">
        <f>0.97+0.79</f>
        <v>1.76</v>
      </c>
      <c r="I4" s="4">
        <f>1.3+1.06</f>
        <v>2.3600000000000003</v>
      </c>
      <c r="J4" s="4">
        <f>1.75+1.4</f>
        <v>3.15</v>
      </c>
      <c r="K4" s="4">
        <f>2.22+1.82</f>
        <v>4.04</v>
      </c>
      <c r="L4" s="1"/>
    </row>
    <row r="5" spans="1:12" x14ac:dyDescent="0.25">
      <c r="A5" s="4"/>
      <c r="B5" s="4">
        <v>0.11</v>
      </c>
      <c r="C5" s="4">
        <v>0.11</v>
      </c>
      <c r="D5" s="4">
        <f>0.26+0.19</f>
        <v>0.45</v>
      </c>
      <c r="E5" s="4">
        <f>0.42+0.32</f>
        <v>0.74</v>
      </c>
      <c r="F5" s="4">
        <f>0.61+0.47</f>
        <v>1.08</v>
      </c>
      <c r="G5" s="4">
        <f>0.81+0.64</f>
        <v>1.4500000000000002</v>
      </c>
      <c r="H5" s="4">
        <f>1+0.79</f>
        <v>1.79</v>
      </c>
      <c r="I5" s="4">
        <f>1.33+1.06</f>
        <v>2.39</v>
      </c>
      <c r="J5" s="4">
        <f>1.77+1.43</f>
        <v>3.2</v>
      </c>
      <c r="K5" s="4">
        <f>2.25+1.83</f>
        <v>4.08</v>
      </c>
    </row>
    <row r="6" spans="1:12" x14ac:dyDescent="0.25">
      <c r="A6" s="4"/>
      <c r="B6" s="4">
        <v>0.11</v>
      </c>
      <c r="C6" s="4">
        <v>0.12</v>
      </c>
      <c r="D6" s="4">
        <f>0.25+0.21</f>
        <v>0.45999999999999996</v>
      </c>
      <c r="E6" s="4">
        <f>0.4+0.34</f>
        <v>0.74</v>
      </c>
      <c r="F6" s="4">
        <f>0.58+0.49</f>
        <v>1.0699999999999998</v>
      </c>
      <c r="G6" s="4">
        <f>0.78+0.66</f>
        <v>1.44</v>
      </c>
      <c r="H6" s="4">
        <f>0.98+0.81</f>
        <v>1.79</v>
      </c>
      <c r="I6" s="4">
        <f>1.3+1.08</f>
        <v>2.38</v>
      </c>
      <c r="J6" s="4">
        <f>1.73+1.44</f>
        <v>3.17</v>
      </c>
      <c r="K6" s="4">
        <f>2.21+1.85</f>
        <v>4.0600000000000005</v>
      </c>
    </row>
    <row r="7" spans="1:12" x14ac:dyDescent="0.25">
      <c r="A7" s="4" t="s">
        <v>18</v>
      </c>
      <c r="B7" s="5">
        <f>AVERAGE(B4:B6)</f>
        <v>0.11</v>
      </c>
      <c r="C7" s="5">
        <f t="shared" ref="C7:K7" si="0">AVERAGE(C4:C6)</f>
        <v>0.11666666666666665</v>
      </c>
      <c r="D7" s="5">
        <f t="shared" si="0"/>
        <v>0.45333333333333331</v>
      </c>
      <c r="E7" s="5">
        <f t="shared" si="0"/>
        <v>0.73666666666666669</v>
      </c>
      <c r="F7" s="5">
        <f t="shared" si="0"/>
        <v>1.07</v>
      </c>
      <c r="G7" s="5">
        <f t="shared" si="0"/>
        <v>1.4366666666666668</v>
      </c>
      <c r="H7" s="5">
        <f t="shared" si="0"/>
        <v>1.78</v>
      </c>
      <c r="I7" s="5">
        <f t="shared" si="0"/>
        <v>2.3766666666666665</v>
      </c>
      <c r="J7" s="5">
        <f t="shared" si="0"/>
        <v>3.1733333333333333</v>
      </c>
      <c r="K7" s="5">
        <f t="shared" si="0"/>
        <v>4.0600000000000005</v>
      </c>
    </row>
    <row r="8" spans="1:12" x14ac:dyDescent="0.25">
      <c r="A8" s="4" t="s">
        <v>1</v>
      </c>
      <c r="B8" s="4">
        <v>0.11</v>
      </c>
      <c r="C8" s="4">
        <v>0.12</v>
      </c>
      <c r="D8" s="4">
        <f>0.31+0.24</f>
        <v>0.55000000000000004</v>
      </c>
      <c r="E8" s="4">
        <f>0.55+0.43</f>
        <v>0.98</v>
      </c>
      <c r="F8" s="4">
        <f>0.81+0.64</f>
        <v>1.4500000000000002</v>
      </c>
      <c r="G8" s="4">
        <f>1.11+0.88</f>
        <v>1.9900000000000002</v>
      </c>
      <c r="H8" s="4">
        <f>1.62+1.3</f>
        <v>2.92</v>
      </c>
      <c r="I8" s="4">
        <f>2.27+1.84</f>
        <v>4.1100000000000003</v>
      </c>
      <c r="J8" s="4">
        <f>2.97+2.44</f>
        <v>5.41</v>
      </c>
      <c r="K8" s="4">
        <f>3.74+3.11</f>
        <v>6.85</v>
      </c>
    </row>
    <row r="9" spans="1:12" x14ac:dyDescent="0.25">
      <c r="A9" s="4"/>
      <c r="B9" s="4">
        <v>0.12</v>
      </c>
      <c r="C9" s="4">
        <v>0.12</v>
      </c>
      <c r="D9" s="4">
        <f>0.32+0.23</f>
        <v>0.55000000000000004</v>
      </c>
      <c r="E9" s="4">
        <f>0.55+0.42</f>
        <v>0.97</v>
      </c>
      <c r="F9" s="4">
        <f>0.82+0.64</f>
        <v>1.46</v>
      </c>
      <c r="G9" s="4">
        <f>1.12+0.88</f>
        <v>2</v>
      </c>
      <c r="H9" s="4">
        <f>1.64+1.31</f>
        <v>2.95</v>
      </c>
      <c r="I9" s="4">
        <f>2.28+1.89</f>
        <v>4.17</v>
      </c>
      <c r="J9" s="4">
        <f>2.99+2.5</f>
        <v>5.49</v>
      </c>
      <c r="K9" s="4">
        <f>3.78+3.11</f>
        <v>6.89</v>
      </c>
    </row>
    <row r="10" spans="1:12" x14ac:dyDescent="0.25">
      <c r="A10" s="4"/>
      <c r="B10" s="4">
        <v>0.12</v>
      </c>
      <c r="C10" s="4">
        <v>0.13</v>
      </c>
      <c r="D10" s="4">
        <f>0.31+0.25</f>
        <v>0.56000000000000005</v>
      </c>
      <c r="E10" s="4">
        <f>0.54+0.44</f>
        <v>0.98</v>
      </c>
      <c r="F10" s="4">
        <f>0.8+0.66</f>
        <v>1.46</v>
      </c>
      <c r="G10" s="4">
        <f>1.09+0.89</f>
        <v>1.98</v>
      </c>
      <c r="H10" s="4">
        <f>1.63+1.34</f>
        <v>2.9699999999999998</v>
      </c>
      <c r="I10" s="4">
        <f>2.29+1.91</f>
        <v>4.2</v>
      </c>
      <c r="J10" s="4">
        <f>2.97+2.45</f>
        <v>5.42</v>
      </c>
      <c r="K10" s="4">
        <f>3.73+3.11</f>
        <v>6.84</v>
      </c>
    </row>
    <row r="11" spans="1:12" x14ac:dyDescent="0.25">
      <c r="A11" s="4" t="s">
        <v>19</v>
      </c>
      <c r="B11" s="5">
        <f>AVERAGE(B8:B10)</f>
        <v>0.11666666666666665</v>
      </c>
      <c r="C11" s="5">
        <f t="shared" ref="C11:K11" si="1">AVERAGE(C8:C10)</f>
        <v>0.12333333333333334</v>
      </c>
      <c r="D11" s="5">
        <f t="shared" si="1"/>
        <v>0.55333333333333334</v>
      </c>
      <c r="E11" s="5">
        <f t="shared" si="1"/>
        <v>0.97666666666666657</v>
      </c>
      <c r="F11" s="5">
        <f t="shared" si="1"/>
        <v>1.4566666666666668</v>
      </c>
      <c r="G11" s="5">
        <f t="shared" si="1"/>
        <v>1.9900000000000002</v>
      </c>
      <c r="H11" s="5">
        <f t="shared" si="1"/>
        <v>2.9466666666666668</v>
      </c>
      <c r="I11" s="5">
        <f t="shared" si="1"/>
        <v>4.16</v>
      </c>
      <c r="J11" s="5">
        <f t="shared" si="1"/>
        <v>5.44</v>
      </c>
      <c r="K11" s="5">
        <f t="shared" si="1"/>
        <v>6.8599999999999994</v>
      </c>
    </row>
    <row r="12" spans="1:12" s="3" customFormat="1" x14ac:dyDescent="0.25">
      <c r="A12" s="2" t="s">
        <v>6</v>
      </c>
      <c r="C12" s="3" t="s">
        <v>14</v>
      </c>
    </row>
    <row r="13" spans="1:12" s="3" customFormat="1" x14ac:dyDescent="0.25">
      <c r="A13" s="3" t="s">
        <v>10</v>
      </c>
      <c r="C13" s="3" t="s">
        <v>17</v>
      </c>
    </row>
    <row r="14" spans="1:12" s="3" customFormat="1" x14ac:dyDescent="0.25">
      <c r="A14" s="4" t="s">
        <v>20</v>
      </c>
      <c r="B14" s="4">
        <v>0.4</v>
      </c>
      <c r="C14" s="4">
        <v>0.8</v>
      </c>
      <c r="D14" s="4">
        <v>1.2</v>
      </c>
      <c r="E14" s="4">
        <v>1.6</v>
      </c>
      <c r="F14" s="4">
        <v>2</v>
      </c>
      <c r="G14" s="4">
        <v>2.4</v>
      </c>
      <c r="H14" s="4">
        <v>2.8</v>
      </c>
      <c r="I14" s="4">
        <v>3.2</v>
      </c>
      <c r="J14" s="4">
        <v>3.6</v>
      </c>
      <c r="K14" s="4">
        <v>4</v>
      </c>
    </row>
    <row r="15" spans="1:12" s="3" customFormat="1" x14ac:dyDescent="0.25">
      <c r="A15" s="4" t="s">
        <v>0</v>
      </c>
      <c r="B15" s="4">
        <f>0.26+0.23</f>
        <v>0.49</v>
      </c>
      <c r="C15" s="4">
        <f>0.48+0.41</f>
        <v>0.8899999999999999</v>
      </c>
      <c r="D15" s="4">
        <f>0.69+0.59</f>
        <v>1.2799999999999998</v>
      </c>
      <c r="E15" s="4">
        <f>0.9+0.76</f>
        <v>1.6600000000000001</v>
      </c>
      <c r="F15" s="4">
        <f>1.08+0.91</f>
        <v>1.9900000000000002</v>
      </c>
      <c r="G15" s="4">
        <f>1.3+1.1</f>
        <v>2.4000000000000004</v>
      </c>
      <c r="H15" s="4">
        <f>1.57+1.32</f>
        <v>2.89</v>
      </c>
      <c r="I15" s="4">
        <f>1.8+1.51</f>
        <v>3.31</v>
      </c>
      <c r="J15" s="4">
        <f>1.99+1.66</f>
        <v>3.65</v>
      </c>
      <c r="K15" s="4">
        <f>2.16+1.8</f>
        <v>3.96</v>
      </c>
    </row>
    <row r="16" spans="1:12" s="3" customFormat="1" x14ac:dyDescent="0.25">
      <c r="A16" s="4"/>
      <c r="B16" s="4">
        <f>0.29+0.22</f>
        <v>0.51</v>
      </c>
      <c r="C16" s="4">
        <f>0.51+0.4</f>
        <v>0.91</v>
      </c>
      <c r="D16" s="4">
        <f>0.72+0.57</f>
        <v>1.29</v>
      </c>
      <c r="E16" s="4">
        <f>0.92+0.75</f>
        <v>1.67</v>
      </c>
      <c r="F16" s="4">
        <f>1.11+0.9</f>
        <v>2.0100000000000002</v>
      </c>
      <c r="G16" s="4">
        <f>1.35+1.09</f>
        <v>2.4400000000000004</v>
      </c>
      <c r="H16" s="4">
        <f>1.6+1.3</f>
        <v>2.9000000000000004</v>
      </c>
      <c r="I16" s="4">
        <f>1.8+1.5</f>
        <v>3.3</v>
      </c>
      <c r="J16" s="4">
        <f>2+1.65</f>
        <v>3.65</v>
      </c>
      <c r="K16" s="4">
        <f>2.17+1.78</f>
        <v>3.95</v>
      </c>
    </row>
    <row r="17" spans="1:11" s="3" customFormat="1" x14ac:dyDescent="0.25">
      <c r="A17" s="4"/>
      <c r="B17" s="4">
        <f>0.28+0.23</f>
        <v>0.51</v>
      </c>
      <c r="C17" s="4">
        <f>0.49+0.41</f>
        <v>0.89999999999999991</v>
      </c>
      <c r="D17" s="4">
        <f>0.69+0.59</f>
        <v>1.2799999999999998</v>
      </c>
      <c r="E17" s="4">
        <f>0.9+0.77</f>
        <v>1.67</v>
      </c>
      <c r="F17" s="4">
        <f>1.09+0.92</f>
        <v>2.0100000000000002</v>
      </c>
      <c r="G17" s="4">
        <f>1.33+1.11</f>
        <v>2.4400000000000004</v>
      </c>
      <c r="H17" s="4">
        <f>1.58+1.33</f>
        <v>2.91</v>
      </c>
      <c r="I17" s="4">
        <f>1.81+1.52</f>
        <v>3.33</v>
      </c>
      <c r="J17" s="4">
        <f>1.99+1.66</f>
        <v>3.65</v>
      </c>
      <c r="K17" s="4">
        <f>2.14+1.78</f>
        <v>3.92</v>
      </c>
    </row>
    <row r="18" spans="1:11" s="3" customFormat="1" x14ac:dyDescent="0.25">
      <c r="A18" s="4" t="s">
        <v>18</v>
      </c>
      <c r="B18" s="5">
        <f>AVERAGE(B15:B17)</f>
        <v>0.5033333333333333</v>
      </c>
      <c r="C18" s="5">
        <f t="shared" ref="C18:K18" si="2">AVERAGE(C15:C17)</f>
        <v>0.89999999999999991</v>
      </c>
      <c r="D18" s="5">
        <f t="shared" si="2"/>
        <v>1.2833333333333332</v>
      </c>
      <c r="E18" s="5">
        <f t="shared" si="2"/>
        <v>1.6666666666666667</v>
      </c>
      <c r="F18" s="5">
        <f t="shared" si="2"/>
        <v>2.0033333333333334</v>
      </c>
      <c r="G18" s="5">
        <f t="shared" si="2"/>
        <v>2.4266666666666672</v>
      </c>
      <c r="H18" s="5">
        <f t="shared" si="2"/>
        <v>2.9000000000000004</v>
      </c>
      <c r="I18" s="5">
        <f t="shared" si="2"/>
        <v>3.313333333333333</v>
      </c>
      <c r="J18" s="5">
        <f t="shared" si="2"/>
        <v>3.65</v>
      </c>
      <c r="K18" s="5">
        <f t="shared" si="2"/>
        <v>3.9433333333333334</v>
      </c>
    </row>
    <row r="19" spans="1:11" s="3" customFormat="1" x14ac:dyDescent="0.25">
      <c r="A19" s="4" t="s">
        <v>1</v>
      </c>
      <c r="B19" s="4">
        <f>0.24+0.18</f>
        <v>0.42</v>
      </c>
      <c r="C19" s="4">
        <f>0.44+0.36</f>
        <v>0.8</v>
      </c>
      <c r="D19" s="4">
        <f>0.66+0.54</f>
        <v>1.2000000000000002</v>
      </c>
      <c r="E19" s="4">
        <f>0.85+0.7</f>
        <v>1.5499999999999998</v>
      </c>
      <c r="F19" s="4">
        <f>1.02+0.84</f>
        <v>1.8599999999999999</v>
      </c>
      <c r="G19" s="4">
        <f>1.27+1.06</f>
        <v>2.33</v>
      </c>
      <c r="H19" s="4">
        <f>1.51+1.27</f>
        <v>2.7800000000000002</v>
      </c>
      <c r="I19" s="4">
        <f>1.74+1.44</f>
        <v>3.1799999999999997</v>
      </c>
      <c r="J19" s="4">
        <f>1.99+1.6</f>
        <v>3.59</v>
      </c>
      <c r="K19" s="4">
        <f>2.2+1.81</f>
        <v>4.01</v>
      </c>
    </row>
    <row r="20" spans="1:11" s="3" customFormat="1" x14ac:dyDescent="0.25">
      <c r="A20" s="4"/>
      <c r="B20" s="4">
        <f>0.25+0.17</f>
        <v>0.42000000000000004</v>
      </c>
      <c r="C20" s="4">
        <f>0.46+0.34</f>
        <v>0.8</v>
      </c>
      <c r="D20" s="4">
        <f>0.68+0.53</f>
        <v>1.21</v>
      </c>
      <c r="E20" s="4">
        <f>0.87+0.68</f>
        <v>1.55</v>
      </c>
      <c r="F20" s="4">
        <f>1.03+0.82</f>
        <v>1.85</v>
      </c>
      <c r="G20" s="4">
        <f>1.29+1.04</f>
        <v>2.33</v>
      </c>
      <c r="H20" s="4">
        <f>1.52+1.21</f>
        <v>2.73</v>
      </c>
      <c r="I20" s="4">
        <f>1.75+1.43</f>
        <v>3.1799999999999997</v>
      </c>
      <c r="J20" s="4">
        <f>1.99+1.65</f>
        <v>3.6399999999999997</v>
      </c>
      <c r="K20" s="4">
        <f>2.19+1.82</f>
        <v>4.01</v>
      </c>
    </row>
    <row r="21" spans="1:11" s="3" customFormat="1" x14ac:dyDescent="0.25">
      <c r="A21" s="4"/>
      <c r="B21" s="4">
        <f>0.24+0.18</f>
        <v>0.42</v>
      </c>
      <c r="C21" s="4">
        <f>0.44+0.35</f>
        <v>0.79</v>
      </c>
      <c r="D21" s="4">
        <f>0.66+0.54</f>
        <v>1.2000000000000002</v>
      </c>
      <c r="E21" s="4">
        <f>0.86+0.7</f>
        <v>1.56</v>
      </c>
      <c r="F21" s="4">
        <f>1.01+0.83</f>
        <v>1.8399999999999999</v>
      </c>
      <c r="G21" s="4">
        <f>1.26+1.05</f>
        <v>2.31</v>
      </c>
      <c r="H21" s="4">
        <f>1.5+1.25</f>
        <v>2.75</v>
      </c>
      <c r="I21" s="4">
        <f>1.73+1.44</f>
        <v>3.17</v>
      </c>
      <c r="J21" s="4">
        <f>1.99+1.67</f>
        <v>3.66</v>
      </c>
      <c r="K21" s="4">
        <f>2.19+1.82</f>
        <v>4.01</v>
      </c>
    </row>
    <row r="22" spans="1:11" s="3" customFormat="1" x14ac:dyDescent="0.25">
      <c r="A22" s="4" t="s">
        <v>19</v>
      </c>
      <c r="B22" s="5">
        <f>AVERAGE(B19:B21)</f>
        <v>0.42</v>
      </c>
      <c r="C22" s="5">
        <f t="shared" ref="C22:K22" si="3">AVERAGE(C19:C21)</f>
        <v>0.79666666666666675</v>
      </c>
      <c r="D22" s="5">
        <f t="shared" si="3"/>
        <v>1.2033333333333334</v>
      </c>
      <c r="E22" s="5">
        <f t="shared" si="3"/>
        <v>1.5533333333333335</v>
      </c>
      <c r="F22" s="5">
        <f t="shared" si="3"/>
        <v>1.8499999999999999</v>
      </c>
      <c r="G22" s="5">
        <f t="shared" si="3"/>
        <v>2.3233333333333337</v>
      </c>
      <c r="H22" s="5">
        <f t="shared" si="3"/>
        <v>2.7533333333333334</v>
      </c>
      <c r="I22" s="5">
        <f t="shared" si="3"/>
        <v>3.1766666666666663</v>
      </c>
      <c r="J22" s="5">
        <f t="shared" si="3"/>
        <v>3.6300000000000003</v>
      </c>
      <c r="K22" s="5">
        <f t="shared" si="3"/>
        <v>4.01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 03-08-2021</vt:lpstr>
      <vt:lpstr>Laboratório 09-08-2021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DIAS</dc:creator>
  <cp:lastModifiedBy>ITALO DIAS</cp:lastModifiedBy>
  <dcterms:created xsi:type="dcterms:W3CDTF">2021-06-01T03:53:35Z</dcterms:created>
  <dcterms:modified xsi:type="dcterms:W3CDTF">2021-08-20T03:25:53Z</dcterms:modified>
</cp:coreProperties>
</file>