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llynch/Desktop/Cornell Research/Natl Soil Project/shimadzu data/Excel files for cal curve correction/"/>
    </mc:Choice>
  </mc:AlternateContent>
  <xr:revisionPtr revIDLastSave="0" documentId="13_ncr:1_{FCC20FB0-2E8C-CA40-A403-37CCE6075835}" xr6:coauthVersionLast="43" xr6:coauthVersionMax="43" xr10:uidLastSave="{00000000-0000-0000-0000-000000000000}"/>
  <bookViews>
    <workbookView xWindow="-30420" yWindow="2240" windowWidth="27240" windowHeight="16540" activeTab="1" xr2:uid="{31E244DC-2D9A-C64C-93D0-D7E9C622393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2" l="1"/>
  <c r="M22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M20" i="2"/>
  <c r="L20" i="2"/>
  <c r="F21" i="2"/>
  <c r="F22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F20" i="2"/>
  <c r="E20" i="2"/>
  <c r="A1" i="1"/>
  <c r="A2" i="1"/>
  <c r="B2" i="1"/>
  <c r="A3" i="1"/>
  <c r="B3" i="1"/>
  <c r="A4" i="1"/>
  <c r="B4" i="1"/>
  <c r="A5" i="1"/>
  <c r="B5" i="1"/>
  <c r="A6" i="1"/>
  <c r="A9" i="1"/>
  <c r="B9" i="1"/>
  <c r="A10" i="1"/>
  <c r="B10" i="1"/>
  <c r="A11" i="1"/>
  <c r="B11" i="1"/>
  <c r="A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A15" i="1"/>
  <c r="B15" i="1"/>
  <c r="C15" i="1"/>
  <c r="D15" i="1"/>
  <c r="E15" i="1"/>
  <c r="F15" i="1"/>
  <c r="H15" i="1"/>
  <c r="I15" i="1"/>
  <c r="J15" i="1"/>
  <c r="K15" i="1"/>
  <c r="L15" i="1"/>
  <c r="M15" i="1"/>
  <c r="N15" i="1"/>
  <c r="O15" i="1"/>
  <c r="Q15" i="1"/>
  <c r="A16" i="1"/>
  <c r="B16" i="1"/>
  <c r="C16" i="1"/>
  <c r="D16" i="1"/>
  <c r="E16" i="1"/>
  <c r="F16" i="1"/>
  <c r="H16" i="1"/>
  <c r="I16" i="1"/>
  <c r="J16" i="1"/>
  <c r="K16" i="1"/>
  <c r="L16" i="1"/>
  <c r="M16" i="1"/>
  <c r="N16" i="1"/>
  <c r="O16" i="1"/>
  <c r="Q16" i="1"/>
  <c r="A17" i="1"/>
  <c r="B17" i="1"/>
  <c r="C17" i="1"/>
  <c r="D17" i="1"/>
  <c r="E17" i="1"/>
  <c r="F17" i="1"/>
  <c r="H17" i="1"/>
  <c r="I17" i="1"/>
  <c r="J17" i="1"/>
  <c r="K17" i="1"/>
  <c r="L17" i="1"/>
  <c r="M17" i="1"/>
  <c r="N17" i="1"/>
  <c r="O17" i="1"/>
  <c r="Q17" i="1"/>
  <c r="A18" i="1"/>
  <c r="B18" i="1"/>
  <c r="C18" i="1"/>
  <c r="D18" i="1"/>
  <c r="E18" i="1"/>
  <c r="F18" i="1"/>
  <c r="H18" i="1"/>
  <c r="I18" i="1"/>
  <c r="J18" i="1"/>
  <c r="K18" i="1"/>
  <c r="L18" i="1"/>
  <c r="M18" i="1"/>
  <c r="N18" i="1"/>
  <c r="O18" i="1"/>
  <c r="Q18" i="1"/>
  <c r="A19" i="1"/>
  <c r="B19" i="1"/>
  <c r="C19" i="1"/>
  <c r="D19" i="1"/>
  <c r="E19" i="1"/>
  <c r="F19" i="1"/>
  <c r="H19" i="1"/>
  <c r="I19" i="1"/>
  <c r="J19" i="1"/>
  <c r="K19" i="1"/>
  <c r="L19" i="1"/>
  <c r="M19" i="1"/>
  <c r="N19" i="1"/>
  <c r="O19" i="1"/>
  <c r="Q19" i="1"/>
  <c r="A20" i="1"/>
  <c r="B20" i="1"/>
  <c r="C20" i="1"/>
  <c r="D20" i="1"/>
  <c r="E20" i="1"/>
  <c r="F20" i="1"/>
  <c r="H20" i="1"/>
  <c r="I20" i="1"/>
  <c r="J20" i="1"/>
  <c r="K20" i="1"/>
  <c r="L20" i="1"/>
  <c r="M20" i="1"/>
  <c r="N20" i="1"/>
  <c r="O20" i="1"/>
  <c r="Q20" i="1"/>
  <c r="A21" i="1"/>
  <c r="B21" i="1"/>
  <c r="C21" i="1"/>
  <c r="D21" i="1"/>
  <c r="E21" i="1"/>
  <c r="F21" i="1"/>
  <c r="H21" i="1"/>
  <c r="I21" i="1"/>
  <c r="J21" i="1"/>
  <c r="K21" i="1"/>
  <c r="L21" i="1"/>
  <c r="M21" i="1"/>
  <c r="N21" i="1"/>
  <c r="O21" i="1"/>
  <c r="Q21" i="1"/>
  <c r="A22" i="1"/>
  <c r="B22" i="1"/>
  <c r="C22" i="1"/>
  <c r="D22" i="1"/>
  <c r="E22" i="1"/>
  <c r="F22" i="1"/>
  <c r="H22" i="1"/>
  <c r="I22" i="1"/>
  <c r="J22" i="1"/>
  <c r="K22" i="1"/>
  <c r="L22" i="1"/>
  <c r="M22" i="1"/>
  <c r="N22" i="1"/>
  <c r="O22" i="1"/>
  <c r="Q22" i="1"/>
  <c r="A23" i="1"/>
  <c r="B23" i="1"/>
  <c r="C23" i="1"/>
  <c r="D23" i="1"/>
  <c r="E23" i="1"/>
  <c r="F23" i="1"/>
  <c r="H23" i="1"/>
  <c r="I23" i="1"/>
  <c r="J23" i="1"/>
  <c r="K23" i="1"/>
  <c r="L23" i="1"/>
  <c r="M23" i="1"/>
  <c r="N23" i="1"/>
  <c r="O23" i="1"/>
  <c r="Q23" i="1"/>
  <c r="A24" i="1"/>
  <c r="B24" i="1"/>
  <c r="C24" i="1"/>
  <c r="D24" i="1"/>
  <c r="E24" i="1"/>
  <c r="F24" i="1"/>
  <c r="H24" i="1"/>
  <c r="I24" i="1"/>
  <c r="J24" i="1"/>
  <c r="K24" i="1"/>
  <c r="L24" i="1"/>
  <c r="M24" i="1"/>
  <c r="N24" i="1"/>
  <c r="O24" i="1"/>
  <c r="Q24" i="1"/>
  <c r="A25" i="1"/>
  <c r="B25" i="1"/>
  <c r="C25" i="1"/>
  <c r="D25" i="1"/>
  <c r="E25" i="1"/>
  <c r="F25" i="1"/>
  <c r="H25" i="1"/>
  <c r="I25" i="1"/>
  <c r="J25" i="1"/>
  <c r="K25" i="1"/>
  <c r="L25" i="1"/>
  <c r="M25" i="1"/>
  <c r="N25" i="1"/>
  <c r="O25" i="1"/>
  <c r="Q25" i="1"/>
  <c r="A26" i="1"/>
  <c r="B26" i="1"/>
  <c r="C26" i="1"/>
  <c r="D26" i="1"/>
  <c r="E26" i="1"/>
  <c r="F26" i="1"/>
  <c r="H26" i="1"/>
  <c r="I26" i="1"/>
  <c r="J26" i="1"/>
  <c r="K26" i="1"/>
  <c r="L26" i="1"/>
  <c r="M26" i="1"/>
  <c r="N26" i="1"/>
  <c r="O26" i="1"/>
  <c r="Q26" i="1"/>
  <c r="A27" i="1"/>
  <c r="B27" i="1"/>
  <c r="C27" i="1"/>
  <c r="D27" i="1"/>
  <c r="E27" i="1"/>
  <c r="F27" i="1"/>
  <c r="H27" i="1"/>
  <c r="I27" i="1"/>
  <c r="J27" i="1"/>
  <c r="K27" i="1"/>
  <c r="L27" i="1"/>
  <c r="M27" i="1"/>
  <c r="N27" i="1"/>
  <c r="O27" i="1"/>
  <c r="Q27" i="1"/>
  <c r="A28" i="1"/>
  <c r="B28" i="1"/>
  <c r="C28" i="1"/>
  <c r="D28" i="1"/>
  <c r="E28" i="1"/>
  <c r="F28" i="1"/>
  <c r="H28" i="1"/>
  <c r="I28" i="1"/>
  <c r="J28" i="1"/>
  <c r="K28" i="1"/>
  <c r="L28" i="1"/>
  <c r="M28" i="1"/>
  <c r="N28" i="1"/>
  <c r="O28" i="1"/>
  <c r="Q28" i="1"/>
  <c r="A29" i="1"/>
  <c r="B29" i="1"/>
  <c r="C29" i="1"/>
  <c r="D29" i="1"/>
  <c r="E29" i="1"/>
  <c r="F29" i="1"/>
  <c r="H29" i="1"/>
  <c r="I29" i="1"/>
  <c r="J29" i="1"/>
  <c r="K29" i="1"/>
  <c r="L29" i="1"/>
  <c r="M29" i="1"/>
  <c r="N29" i="1"/>
  <c r="O29" i="1"/>
  <c r="Q29" i="1"/>
  <c r="A30" i="1"/>
  <c r="B30" i="1"/>
  <c r="C30" i="1"/>
  <c r="D30" i="1"/>
  <c r="E30" i="1"/>
  <c r="F30" i="1"/>
  <c r="H30" i="1"/>
  <c r="I30" i="1"/>
  <c r="J30" i="1"/>
  <c r="K30" i="1"/>
  <c r="L30" i="1"/>
  <c r="M30" i="1"/>
  <c r="N30" i="1"/>
  <c r="O30" i="1"/>
  <c r="Q30" i="1"/>
  <c r="A31" i="1"/>
  <c r="B31" i="1"/>
  <c r="C31" i="1"/>
  <c r="D31" i="1"/>
  <c r="E31" i="1"/>
  <c r="F31" i="1"/>
  <c r="H31" i="1"/>
  <c r="I31" i="1"/>
  <c r="J31" i="1"/>
  <c r="K31" i="1"/>
  <c r="L31" i="1"/>
  <c r="M31" i="1"/>
  <c r="N31" i="1"/>
  <c r="O31" i="1"/>
  <c r="Q31" i="1"/>
  <c r="A32" i="1"/>
  <c r="B32" i="1"/>
  <c r="C32" i="1"/>
  <c r="D32" i="1"/>
  <c r="E32" i="1"/>
  <c r="F32" i="1"/>
  <c r="H32" i="1"/>
  <c r="I32" i="1"/>
  <c r="J32" i="1"/>
  <c r="K32" i="1"/>
  <c r="L32" i="1"/>
  <c r="M32" i="1"/>
  <c r="N32" i="1"/>
  <c r="O32" i="1"/>
  <c r="Q32" i="1"/>
  <c r="A33" i="1"/>
  <c r="B33" i="1"/>
  <c r="C33" i="1"/>
  <c r="D33" i="1"/>
  <c r="E33" i="1"/>
  <c r="F33" i="1"/>
  <c r="H33" i="1"/>
  <c r="I33" i="1"/>
  <c r="J33" i="1"/>
  <c r="K33" i="1"/>
  <c r="L33" i="1"/>
  <c r="M33" i="1"/>
  <c r="N33" i="1"/>
  <c r="O33" i="1"/>
  <c r="Q33" i="1"/>
  <c r="A34" i="1"/>
  <c r="B34" i="1"/>
  <c r="C34" i="1"/>
  <c r="D34" i="1"/>
  <c r="E34" i="1"/>
  <c r="F34" i="1"/>
  <c r="H34" i="1"/>
  <c r="I34" i="1"/>
  <c r="J34" i="1"/>
  <c r="K34" i="1"/>
  <c r="L34" i="1"/>
  <c r="M34" i="1"/>
  <c r="N34" i="1"/>
  <c r="O34" i="1"/>
  <c r="Q34" i="1"/>
  <c r="A35" i="1"/>
  <c r="B35" i="1"/>
  <c r="C35" i="1"/>
  <c r="D35" i="1"/>
  <c r="E35" i="1"/>
  <c r="F35" i="1"/>
  <c r="H35" i="1"/>
  <c r="I35" i="1"/>
  <c r="J35" i="1"/>
  <c r="K35" i="1"/>
  <c r="L35" i="1"/>
  <c r="M35" i="1"/>
  <c r="N35" i="1"/>
  <c r="O35" i="1"/>
  <c r="Q35" i="1"/>
  <c r="A36" i="1"/>
  <c r="B36" i="1"/>
  <c r="C36" i="1"/>
  <c r="D36" i="1"/>
  <c r="E36" i="1"/>
  <c r="F36" i="1"/>
  <c r="H36" i="1"/>
  <c r="I36" i="1"/>
  <c r="J36" i="1"/>
  <c r="K36" i="1"/>
  <c r="L36" i="1"/>
  <c r="M36" i="1"/>
  <c r="N36" i="1"/>
  <c r="O36" i="1"/>
  <c r="Q36" i="1"/>
  <c r="A37" i="1"/>
  <c r="B37" i="1"/>
  <c r="C37" i="1"/>
  <c r="D37" i="1"/>
  <c r="E37" i="1"/>
  <c r="F37" i="1"/>
  <c r="H37" i="1"/>
  <c r="I37" i="1"/>
  <c r="J37" i="1"/>
  <c r="K37" i="1"/>
  <c r="L37" i="1"/>
  <c r="M37" i="1"/>
  <c r="N37" i="1"/>
  <c r="O37" i="1"/>
  <c r="Q37" i="1"/>
  <c r="A38" i="1"/>
  <c r="B38" i="1"/>
  <c r="C38" i="1"/>
  <c r="D38" i="1"/>
  <c r="E38" i="1"/>
  <c r="F38" i="1"/>
  <c r="H38" i="1"/>
  <c r="I38" i="1"/>
  <c r="J38" i="1"/>
  <c r="K38" i="1"/>
  <c r="L38" i="1"/>
  <c r="M38" i="1"/>
  <c r="N38" i="1"/>
  <c r="O38" i="1"/>
  <c r="Q38" i="1"/>
  <c r="A39" i="1"/>
  <c r="B39" i="1"/>
  <c r="C39" i="1"/>
  <c r="D39" i="1"/>
  <c r="E39" i="1"/>
  <c r="F39" i="1"/>
  <c r="H39" i="1"/>
  <c r="I39" i="1"/>
  <c r="J39" i="1"/>
  <c r="K39" i="1"/>
  <c r="L39" i="1"/>
  <c r="M39" i="1"/>
  <c r="N39" i="1"/>
  <c r="O39" i="1"/>
  <c r="Q39" i="1"/>
  <c r="A40" i="1"/>
  <c r="B40" i="1"/>
  <c r="C40" i="1"/>
  <c r="D40" i="1"/>
  <c r="E40" i="1"/>
  <c r="F40" i="1"/>
  <c r="H40" i="1"/>
  <c r="I40" i="1"/>
  <c r="J40" i="1"/>
  <c r="K40" i="1"/>
  <c r="L40" i="1"/>
  <c r="M40" i="1"/>
  <c r="N40" i="1"/>
  <c r="O40" i="1"/>
  <c r="Q40" i="1"/>
  <c r="A41" i="1"/>
  <c r="B41" i="1"/>
  <c r="C41" i="1"/>
  <c r="D41" i="1"/>
  <c r="E41" i="1"/>
  <c r="F41" i="1"/>
  <c r="H41" i="1"/>
  <c r="I41" i="1"/>
  <c r="J41" i="1"/>
  <c r="K41" i="1"/>
  <c r="L41" i="1"/>
  <c r="M41" i="1"/>
  <c r="N41" i="1"/>
  <c r="O41" i="1"/>
  <c r="Q41" i="1"/>
  <c r="A42" i="1"/>
  <c r="B42" i="1"/>
  <c r="C42" i="1"/>
  <c r="D42" i="1"/>
  <c r="E42" i="1"/>
  <c r="F42" i="1"/>
  <c r="H42" i="1"/>
  <c r="I42" i="1"/>
  <c r="J42" i="1"/>
  <c r="K42" i="1"/>
  <c r="L42" i="1"/>
  <c r="M42" i="1"/>
  <c r="N42" i="1"/>
  <c r="O42" i="1"/>
  <c r="Q42" i="1"/>
  <c r="A43" i="1"/>
  <c r="B43" i="1"/>
  <c r="C43" i="1"/>
  <c r="D43" i="1"/>
  <c r="E43" i="1"/>
  <c r="F43" i="1"/>
  <c r="H43" i="1"/>
  <c r="I43" i="1"/>
  <c r="J43" i="1"/>
  <c r="K43" i="1"/>
  <c r="L43" i="1"/>
  <c r="M43" i="1"/>
  <c r="N43" i="1"/>
  <c r="O43" i="1"/>
  <c r="Q43" i="1"/>
  <c r="A44" i="1"/>
  <c r="B44" i="1"/>
  <c r="C44" i="1"/>
  <c r="D44" i="1"/>
  <c r="E44" i="1"/>
  <c r="F44" i="1"/>
  <c r="H44" i="1"/>
  <c r="I44" i="1"/>
  <c r="J44" i="1"/>
  <c r="K44" i="1"/>
  <c r="L44" i="1"/>
  <c r="M44" i="1"/>
  <c r="N44" i="1"/>
  <c r="O44" i="1"/>
  <c r="Q44" i="1"/>
  <c r="A45" i="1"/>
  <c r="B45" i="1"/>
  <c r="C45" i="1"/>
  <c r="D45" i="1"/>
  <c r="E45" i="1"/>
  <c r="F45" i="1"/>
  <c r="H45" i="1"/>
  <c r="I45" i="1"/>
  <c r="J45" i="1"/>
  <c r="K45" i="1"/>
  <c r="L45" i="1"/>
  <c r="M45" i="1"/>
  <c r="N45" i="1"/>
  <c r="O45" i="1"/>
  <c r="Q45" i="1"/>
  <c r="A46" i="1"/>
  <c r="B46" i="1"/>
  <c r="C46" i="1"/>
  <c r="D46" i="1"/>
  <c r="E46" i="1"/>
  <c r="F46" i="1"/>
  <c r="H46" i="1"/>
  <c r="I46" i="1"/>
  <c r="J46" i="1"/>
  <c r="K46" i="1"/>
  <c r="L46" i="1"/>
  <c r="M46" i="1"/>
  <c r="N46" i="1"/>
  <c r="O46" i="1"/>
  <c r="Q46" i="1"/>
  <c r="A47" i="1"/>
  <c r="B47" i="1"/>
  <c r="C47" i="1"/>
  <c r="D47" i="1"/>
  <c r="E47" i="1"/>
  <c r="F47" i="1"/>
  <c r="H47" i="1"/>
  <c r="I47" i="1"/>
  <c r="J47" i="1"/>
  <c r="K47" i="1"/>
  <c r="L47" i="1"/>
  <c r="M47" i="1"/>
  <c r="N47" i="1"/>
  <c r="O47" i="1"/>
  <c r="Q47" i="1"/>
  <c r="A48" i="1"/>
  <c r="B48" i="1"/>
  <c r="C48" i="1"/>
  <c r="D48" i="1"/>
  <c r="E48" i="1"/>
  <c r="F48" i="1"/>
  <c r="H48" i="1"/>
  <c r="I48" i="1"/>
  <c r="J48" i="1"/>
  <c r="K48" i="1"/>
  <c r="L48" i="1"/>
  <c r="M48" i="1"/>
  <c r="N48" i="1"/>
  <c r="O48" i="1"/>
  <c r="Q48" i="1"/>
  <c r="A49" i="1"/>
  <c r="B49" i="1"/>
  <c r="C49" i="1"/>
  <c r="D49" i="1"/>
  <c r="E49" i="1"/>
  <c r="F49" i="1"/>
  <c r="H49" i="1"/>
  <c r="I49" i="1"/>
  <c r="J49" i="1"/>
  <c r="K49" i="1"/>
  <c r="L49" i="1"/>
  <c r="M49" i="1"/>
  <c r="N49" i="1"/>
  <c r="O49" i="1"/>
  <c r="Q49" i="1"/>
  <c r="A50" i="1"/>
  <c r="B50" i="1"/>
  <c r="C50" i="1"/>
  <c r="D50" i="1"/>
  <c r="E50" i="1"/>
  <c r="F50" i="1"/>
  <c r="H50" i="1"/>
  <c r="I50" i="1"/>
  <c r="J50" i="1"/>
  <c r="K50" i="1"/>
  <c r="L50" i="1"/>
  <c r="M50" i="1"/>
  <c r="N50" i="1"/>
  <c r="O50" i="1"/>
  <c r="Q50" i="1"/>
  <c r="A51" i="1"/>
  <c r="B51" i="1"/>
  <c r="C51" i="1"/>
  <c r="D51" i="1"/>
  <c r="E51" i="1"/>
  <c r="F51" i="1"/>
  <c r="H51" i="1"/>
  <c r="I51" i="1"/>
  <c r="J51" i="1"/>
  <c r="K51" i="1"/>
  <c r="L51" i="1"/>
  <c r="M51" i="1"/>
  <c r="N51" i="1"/>
  <c r="O51" i="1"/>
  <c r="Q51" i="1"/>
  <c r="A52" i="1"/>
  <c r="B52" i="1"/>
  <c r="C52" i="1"/>
  <c r="D52" i="1"/>
  <c r="E52" i="1"/>
  <c r="F52" i="1"/>
  <c r="H52" i="1"/>
  <c r="I52" i="1"/>
  <c r="J52" i="1"/>
  <c r="K52" i="1"/>
  <c r="L52" i="1"/>
  <c r="M52" i="1"/>
  <c r="N52" i="1"/>
  <c r="O52" i="1"/>
  <c r="Q52" i="1"/>
  <c r="A53" i="1"/>
  <c r="B53" i="1"/>
  <c r="C53" i="1"/>
  <c r="D53" i="1"/>
  <c r="E53" i="1"/>
  <c r="F53" i="1"/>
  <c r="H53" i="1"/>
  <c r="I53" i="1"/>
  <c r="J53" i="1"/>
  <c r="K53" i="1"/>
  <c r="L53" i="1"/>
  <c r="M53" i="1"/>
  <c r="N53" i="1"/>
  <c r="O53" i="1"/>
  <c r="Q53" i="1"/>
  <c r="A54" i="1"/>
  <c r="B54" i="1"/>
  <c r="C54" i="1"/>
  <c r="D54" i="1"/>
  <c r="E54" i="1"/>
  <c r="F54" i="1"/>
  <c r="H54" i="1"/>
  <c r="I54" i="1"/>
  <c r="J54" i="1"/>
  <c r="K54" i="1"/>
  <c r="L54" i="1"/>
  <c r="M54" i="1"/>
  <c r="N54" i="1"/>
  <c r="O54" i="1"/>
  <c r="Q54" i="1"/>
  <c r="A55" i="1"/>
  <c r="B55" i="1"/>
  <c r="C55" i="1"/>
  <c r="D55" i="1"/>
  <c r="E55" i="1"/>
  <c r="F55" i="1"/>
  <c r="H55" i="1"/>
  <c r="I55" i="1"/>
  <c r="J55" i="1"/>
  <c r="K55" i="1"/>
  <c r="L55" i="1"/>
  <c r="M55" i="1"/>
  <c r="N55" i="1"/>
  <c r="O55" i="1"/>
  <c r="Q55" i="1"/>
  <c r="A56" i="1"/>
  <c r="B56" i="1"/>
  <c r="C56" i="1"/>
  <c r="D56" i="1"/>
  <c r="E56" i="1"/>
  <c r="F56" i="1"/>
  <c r="H56" i="1"/>
  <c r="I56" i="1"/>
  <c r="J56" i="1"/>
  <c r="K56" i="1"/>
  <c r="L56" i="1"/>
  <c r="M56" i="1"/>
  <c r="N56" i="1"/>
  <c r="O56" i="1"/>
  <c r="Q56" i="1"/>
  <c r="A57" i="1"/>
  <c r="B57" i="1"/>
  <c r="C57" i="1"/>
  <c r="D57" i="1"/>
  <c r="E57" i="1"/>
  <c r="F57" i="1"/>
  <c r="H57" i="1"/>
  <c r="I57" i="1"/>
  <c r="J57" i="1"/>
  <c r="K57" i="1"/>
  <c r="L57" i="1"/>
  <c r="M57" i="1"/>
  <c r="N57" i="1"/>
  <c r="O57" i="1"/>
  <c r="Q57" i="1"/>
  <c r="A58" i="1"/>
  <c r="B58" i="1"/>
  <c r="C58" i="1"/>
  <c r="D58" i="1"/>
  <c r="E58" i="1"/>
  <c r="F58" i="1"/>
  <c r="H58" i="1"/>
  <c r="I58" i="1"/>
  <c r="J58" i="1"/>
  <c r="K58" i="1"/>
  <c r="L58" i="1"/>
  <c r="M58" i="1"/>
  <c r="N58" i="1"/>
  <c r="O58" i="1"/>
  <c r="Q58" i="1"/>
  <c r="A59" i="1"/>
  <c r="B59" i="1"/>
  <c r="C59" i="1"/>
  <c r="D59" i="1"/>
  <c r="E59" i="1"/>
  <c r="F59" i="1"/>
  <c r="H59" i="1"/>
  <c r="I59" i="1"/>
  <c r="J59" i="1"/>
  <c r="K59" i="1"/>
  <c r="L59" i="1"/>
  <c r="M59" i="1"/>
  <c r="N59" i="1"/>
  <c r="O59" i="1"/>
  <c r="Q59" i="1"/>
  <c r="A60" i="1"/>
  <c r="B60" i="1"/>
  <c r="C60" i="1"/>
  <c r="D60" i="1"/>
  <c r="E60" i="1"/>
  <c r="F60" i="1"/>
  <c r="H60" i="1"/>
  <c r="I60" i="1"/>
  <c r="J60" i="1"/>
  <c r="K60" i="1"/>
  <c r="L60" i="1"/>
  <c r="M60" i="1"/>
  <c r="N60" i="1"/>
  <c r="O60" i="1"/>
  <c r="Q60" i="1"/>
  <c r="A61" i="1"/>
  <c r="B61" i="1"/>
  <c r="C61" i="1"/>
  <c r="D61" i="1"/>
  <c r="E61" i="1"/>
  <c r="F61" i="1"/>
  <c r="H61" i="1"/>
  <c r="I61" i="1"/>
  <c r="J61" i="1"/>
  <c r="K61" i="1"/>
  <c r="L61" i="1"/>
  <c r="M61" i="1"/>
  <c r="N61" i="1"/>
  <c r="O61" i="1"/>
  <c r="Q61" i="1"/>
  <c r="A62" i="1"/>
  <c r="B62" i="1"/>
  <c r="C62" i="1"/>
  <c r="D62" i="1"/>
  <c r="E62" i="1"/>
  <c r="F62" i="1"/>
  <c r="H62" i="1"/>
  <c r="I62" i="1"/>
  <c r="J62" i="1"/>
  <c r="K62" i="1"/>
  <c r="L62" i="1"/>
  <c r="M62" i="1"/>
  <c r="N62" i="1"/>
  <c r="O62" i="1"/>
  <c r="Q62" i="1"/>
  <c r="A63" i="1"/>
  <c r="B63" i="1"/>
  <c r="C63" i="1"/>
  <c r="D63" i="1"/>
  <c r="E63" i="1"/>
  <c r="F63" i="1"/>
  <c r="H63" i="1"/>
  <c r="I63" i="1"/>
  <c r="J63" i="1"/>
  <c r="K63" i="1"/>
  <c r="L63" i="1"/>
  <c r="M63" i="1"/>
  <c r="N63" i="1"/>
  <c r="O63" i="1"/>
  <c r="Q63" i="1"/>
  <c r="A64" i="1"/>
  <c r="B64" i="1"/>
  <c r="C64" i="1"/>
  <c r="D64" i="1"/>
  <c r="E64" i="1"/>
  <c r="F64" i="1"/>
  <c r="H64" i="1"/>
  <c r="I64" i="1"/>
  <c r="J64" i="1"/>
  <c r="K64" i="1"/>
  <c r="L64" i="1"/>
  <c r="M64" i="1"/>
  <c r="N64" i="1"/>
  <c r="O64" i="1"/>
  <c r="Q64" i="1"/>
  <c r="A65" i="1"/>
  <c r="B65" i="1"/>
  <c r="C65" i="1"/>
  <c r="D65" i="1"/>
  <c r="E65" i="1"/>
  <c r="F65" i="1"/>
  <c r="H65" i="1"/>
  <c r="I65" i="1"/>
  <c r="J65" i="1"/>
  <c r="K65" i="1"/>
  <c r="L65" i="1"/>
  <c r="M65" i="1"/>
  <c r="N65" i="1"/>
  <c r="O65" i="1"/>
  <c r="Q65" i="1"/>
  <c r="A66" i="1"/>
  <c r="B66" i="1"/>
  <c r="C66" i="1"/>
  <c r="D66" i="1"/>
  <c r="E66" i="1"/>
  <c r="F66" i="1"/>
  <c r="H66" i="1"/>
  <c r="I66" i="1"/>
  <c r="J66" i="1"/>
  <c r="K66" i="1"/>
  <c r="L66" i="1"/>
  <c r="M66" i="1"/>
  <c r="N66" i="1"/>
  <c r="O66" i="1"/>
  <c r="Q66" i="1"/>
  <c r="A67" i="1"/>
  <c r="B67" i="1"/>
  <c r="C67" i="1"/>
  <c r="D67" i="1"/>
  <c r="E67" i="1"/>
  <c r="F67" i="1"/>
  <c r="H67" i="1"/>
  <c r="I67" i="1"/>
  <c r="J67" i="1"/>
  <c r="K67" i="1"/>
  <c r="L67" i="1"/>
  <c r="M67" i="1"/>
  <c r="N67" i="1"/>
  <c r="O67" i="1"/>
  <c r="Q67" i="1"/>
  <c r="A68" i="1"/>
  <c r="B68" i="1"/>
  <c r="C68" i="1"/>
  <c r="D68" i="1"/>
  <c r="E68" i="1"/>
  <c r="F68" i="1"/>
  <c r="H68" i="1"/>
  <c r="I68" i="1"/>
  <c r="J68" i="1"/>
  <c r="K68" i="1"/>
  <c r="L68" i="1"/>
  <c r="M68" i="1"/>
  <c r="N68" i="1"/>
  <c r="O68" i="1"/>
  <c r="Q68" i="1"/>
  <c r="A69" i="1"/>
  <c r="B69" i="1"/>
  <c r="C69" i="1"/>
  <c r="D69" i="1"/>
  <c r="E69" i="1"/>
  <c r="F69" i="1"/>
  <c r="H69" i="1"/>
  <c r="I69" i="1"/>
  <c r="J69" i="1"/>
  <c r="K69" i="1"/>
  <c r="L69" i="1"/>
  <c r="M69" i="1"/>
  <c r="N69" i="1"/>
  <c r="O69" i="1"/>
  <c r="Q69" i="1"/>
  <c r="A70" i="1"/>
  <c r="B70" i="1"/>
  <c r="C70" i="1"/>
  <c r="D70" i="1"/>
  <c r="E70" i="1"/>
  <c r="F70" i="1"/>
  <c r="H70" i="1"/>
  <c r="I70" i="1"/>
  <c r="J70" i="1"/>
  <c r="K70" i="1"/>
  <c r="L70" i="1"/>
  <c r="M70" i="1"/>
  <c r="N70" i="1"/>
  <c r="O70" i="1"/>
  <c r="Q70" i="1"/>
  <c r="A71" i="1"/>
  <c r="B71" i="1"/>
  <c r="C71" i="1"/>
  <c r="D71" i="1"/>
  <c r="E71" i="1"/>
  <c r="F71" i="1"/>
  <c r="H71" i="1"/>
  <c r="I71" i="1"/>
  <c r="J71" i="1"/>
  <c r="K71" i="1"/>
  <c r="L71" i="1"/>
  <c r="M71" i="1"/>
  <c r="N71" i="1"/>
  <c r="O71" i="1"/>
  <c r="Q71" i="1"/>
  <c r="A72" i="1"/>
  <c r="B72" i="1"/>
  <c r="C72" i="1"/>
  <c r="D72" i="1"/>
  <c r="E72" i="1"/>
  <c r="F72" i="1"/>
  <c r="H72" i="1"/>
  <c r="I72" i="1"/>
  <c r="J72" i="1"/>
  <c r="K72" i="1"/>
  <c r="L72" i="1"/>
  <c r="M72" i="1"/>
  <c r="N72" i="1"/>
  <c r="O72" i="1"/>
  <c r="Q72" i="1"/>
  <c r="A73" i="1"/>
  <c r="B73" i="1"/>
  <c r="C73" i="1"/>
  <c r="D73" i="1"/>
  <c r="E73" i="1"/>
  <c r="F73" i="1"/>
  <c r="H73" i="1"/>
  <c r="I73" i="1"/>
  <c r="J73" i="1"/>
  <c r="K73" i="1"/>
  <c r="L73" i="1"/>
  <c r="M73" i="1"/>
  <c r="N73" i="1"/>
  <c r="O73" i="1"/>
  <c r="Q73" i="1"/>
  <c r="A74" i="1"/>
  <c r="B74" i="1"/>
  <c r="C74" i="1"/>
  <c r="D74" i="1"/>
  <c r="E74" i="1"/>
  <c r="F74" i="1"/>
  <c r="H74" i="1"/>
  <c r="I74" i="1"/>
  <c r="J74" i="1"/>
  <c r="K74" i="1"/>
  <c r="L74" i="1"/>
  <c r="M74" i="1"/>
  <c r="N74" i="1"/>
  <c r="O74" i="1"/>
  <c r="Q74" i="1"/>
  <c r="A75" i="1"/>
  <c r="B75" i="1"/>
  <c r="C75" i="1"/>
  <c r="D75" i="1"/>
  <c r="E75" i="1"/>
  <c r="F75" i="1"/>
  <c r="H75" i="1"/>
  <c r="I75" i="1"/>
  <c r="J75" i="1"/>
  <c r="K75" i="1"/>
  <c r="L75" i="1"/>
  <c r="M75" i="1"/>
  <c r="N75" i="1"/>
  <c r="O75" i="1"/>
  <c r="Q75" i="1"/>
  <c r="A76" i="1"/>
  <c r="B76" i="1"/>
  <c r="C76" i="1"/>
  <c r="D76" i="1"/>
  <c r="E76" i="1"/>
  <c r="F76" i="1"/>
  <c r="H76" i="1"/>
  <c r="I76" i="1"/>
  <c r="J76" i="1"/>
  <c r="K76" i="1"/>
  <c r="L76" i="1"/>
  <c r="M76" i="1"/>
  <c r="N76" i="1"/>
  <c r="O76" i="1"/>
  <c r="Q76" i="1"/>
  <c r="A77" i="1"/>
  <c r="B77" i="1"/>
  <c r="C77" i="1"/>
  <c r="D77" i="1"/>
  <c r="E77" i="1"/>
  <c r="F77" i="1"/>
  <c r="H77" i="1"/>
  <c r="I77" i="1"/>
  <c r="J77" i="1"/>
  <c r="K77" i="1"/>
  <c r="L77" i="1"/>
  <c r="M77" i="1"/>
  <c r="N77" i="1"/>
  <c r="O77" i="1"/>
  <c r="Q77" i="1"/>
  <c r="A78" i="1"/>
  <c r="B78" i="1"/>
  <c r="C78" i="1"/>
  <c r="D78" i="1"/>
  <c r="E78" i="1"/>
  <c r="F78" i="1"/>
  <c r="H78" i="1"/>
  <c r="I78" i="1"/>
  <c r="J78" i="1"/>
  <c r="K78" i="1"/>
  <c r="L78" i="1"/>
  <c r="M78" i="1"/>
  <c r="N78" i="1"/>
  <c r="O78" i="1"/>
  <c r="Q78" i="1"/>
  <c r="A79" i="1"/>
  <c r="B79" i="1"/>
  <c r="C79" i="1"/>
  <c r="D79" i="1"/>
  <c r="E79" i="1"/>
  <c r="F79" i="1"/>
  <c r="H79" i="1"/>
  <c r="I79" i="1"/>
  <c r="J79" i="1"/>
  <c r="K79" i="1"/>
  <c r="L79" i="1"/>
  <c r="M79" i="1"/>
  <c r="N79" i="1"/>
  <c r="O79" i="1"/>
  <c r="Q79" i="1"/>
  <c r="A80" i="1"/>
  <c r="B80" i="1"/>
  <c r="C80" i="1"/>
  <c r="D80" i="1"/>
  <c r="E80" i="1"/>
  <c r="F80" i="1"/>
  <c r="H80" i="1"/>
  <c r="I80" i="1"/>
  <c r="J80" i="1"/>
  <c r="K80" i="1"/>
  <c r="L80" i="1"/>
  <c r="M80" i="1"/>
  <c r="N80" i="1"/>
  <c r="O80" i="1"/>
  <c r="Q80" i="1"/>
  <c r="A81" i="1"/>
  <c r="B81" i="1"/>
  <c r="C81" i="1"/>
  <c r="D81" i="1"/>
  <c r="E81" i="1"/>
  <c r="F81" i="1"/>
  <c r="H81" i="1"/>
  <c r="I81" i="1"/>
  <c r="J81" i="1"/>
  <c r="K81" i="1"/>
  <c r="L81" i="1"/>
  <c r="M81" i="1"/>
  <c r="N81" i="1"/>
  <c r="O81" i="1"/>
  <c r="Q81" i="1"/>
  <c r="A82" i="1"/>
  <c r="B82" i="1"/>
  <c r="C82" i="1"/>
  <c r="D82" i="1"/>
  <c r="E82" i="1"/>
  <c r="F82" i="1"/>
  <c r="H82" i="1"/>
  <c r="I82" i="1"/>
  <c r="J82" i="1"/>
  <c r="K82" i="1"/>
  <c r="L82" i="1"/>
  <c r="M82" i="1"/>
  <c r="N82" i="1"/>
  <c r="O82" i="1"/>
  <c r="Q82" i="1"/>
  <c r="A83" i="1"/>
  <c r="B83" i="1"/>
  <c r="C83" i="1"/>
  <c r="D83" i="1"/>
  <c r="E83" i="1"/>
  <c r="F83" i="1"/>
  <c r="H83" i="1"/>
  <c r="I83" i="1"/>
  <c r="J83" i="1"/>
  <c r="K83" i="1"/>
  <c r="L83" i="1"/>
  <c r="M83" i="1"/>
  <c r="N83" i="1"/>
  <c r="O83" i="1"/>
  <c r="Q83" i="1"/>
  <c r="A84" i="1"/>
  <c r="B84" i="1"/>
  <c r="C84" i="1"/>
  <c r="D84" i="1"/>
  <c r="E84" i="1"/>
  <c r="F84" i="1"/>
  <c r="H84" i="1"/>
  <c r="I84" i="1"/>
  <c r="J84" i="1"/>
  <c r="K84" i="1"/>
  <c r="L84" i="1"/>
  <c r="M84" i="1"/>
  <c r="N84" i="1"/>
  <c r="O84" i="1"/>
  <c r="Q84" i="1"/>
  <c r="A85" i="1"/>
  <c r="B85" i="1"/>
  <c r="C85" i="1"/>
  <c r="D85" i="1"/>
  <c r="E85" i="1"/>
  <c r="F85" i="1"/>
  <c r="H85" i="1"/>
  <c r="I85" i="1"/>
  <c r="J85" i="1"/>
  <c r="K85" i="1"/>
  <c r="L85" i="1"/>
  <c r="M85" i="1"/>
  <c r="N85" i="1"/>
  <c r="O85" i="1"/>
  <c r="Q85" i="1"/>
  <c r="A86" i="1"/>
  <c r="B86" i="1"/>
  <c r="C86" i="1"/>
  <c r="D86" i="1"/>
  <c r="E86" i="1"/>
  <c r="F86" i="1"/>
  <c r="H86" i="1"/>
  <c r="I86" i="1"/>
  <c r="J86" i="1"/>
  <c r="K86" i="1"/>
  <c r="L86" i="1"/>
  <c r="M86" i="1"/>
  <c r="N86" i="1"/>
  <c r="O86" i="1"/>
  <c r="Q86" i="1"/>
  <c r="A87" i="1"/>
  <c r="B87" i="1"/>
  <c r="C87" i="1"/>
  <c r="D87" i="1"/>
  <c r="E87" i="1"/>
  <c r="F87" i="1"/>
  <c r="H87" i="1"/>
  <c r="I87" i="1"/>
  <c r="J87" i="1"/>
  <c r="K87" i="1"/>
  <c r="L87" i="1"/>
  <c r="M87" i="1"/>
  <c r="N87" i="1"/>
  <c r="O87" i="1"/>
  <c r="Q87" i="1"/>
  <c r="A88" i="1"/>
  <c r="B88" i="1"/>
  <c r="C88" i="1"/>
  <c r="D88" i="1"/>
  <c r="E88" i="1"/>
  <c r="F88" i="1"/>
  <c r="H88" i="1"/>
  <c r="I88" i="1"/>
  <c r="J88" i="1"/>
  <c r="K88" i="1"/>
  <c r="L88" i="1"/>
  <c r="M88" i="1"/>
  <c r="N88" i="1"/>
  <c r="O88" i="1"/>
  <c r="Q88" i="1"/>
  <c r="A89" i="1"/>
  <c r="B89" i="1"/>
  <c r="C89" i="1"/>
  <c r="D89" i="1"/>
  <c r="E89" i="1"/>
  <c r="F89" i="1"/>
  <c r="H89" i="1"/>
  <c r="I89" i="1"/>
  <c r="J89" i="1"/>
  <c r="K89" i="1"/>
  <c r="L89" i="1"/>
  <c r="M89" i="1"/>
  <c r="N89" i="1"/>
  <c r="O89" i="1"/>
  <c r="Q89" i="1"/>
  <c r="A90" i="1"/>
  <c r="B90" i="1"/>
  <c r="C90" i="1"/>
  <c r="D90" i="1"/>
  <c r="E90" i="1"/>
  <c r="F90" i="1"/>
  <c r="H90" i="1"/>
  <c r="I90" i="1"/>
  <c r="J90" i="1"/>
  <c r="K90" i="1"/>
  <c r="L90" i="1"/>
  <c r="M90" i="1"/>
  <c r="N90" i="1"/>
  <c r="O90" i="1"/>
  <c r="Q90" i="1"/>
  <c r="A91" i="1"/>
  <c r="B91" i="1"/>
  <c r="C91" i="1"/>
  <c r="D91" i="1"/>
  <c r="E91" i="1"/>
  <c r="F91" i="1"/>
  <c r="H91" i="1"/>
  <c r="I91" i="1"/>
  <c r="J91" i="1"/>
  <c r="K91" i="1"/>
  <c r="L91" i="1"/>
  <c r="M91" i="1"/>
  <c r="N91" i="1"/>
  <c r="O91" i="1"/>
  <c r="Q91" i="1"/>
  <c r="A92" i="1"/>
  <c r="B92" i="1"/>
  <c r="C92" i="1"/>
  <c r="D92" i="1"/>
  <c r="E92" i="1"/>
  <c r="F92" i="1"/>
  <c r="H92" i="1"/>
  <c r="I92" i="1"/>
  <c r="J92" i="1"/>
  <c r="K92" i="1"/>
  <c r="L92" i="1"/>
  <c r="M92" i="1"/>
  <c r="N92" i="1"/>
  <c r="O92" i="1"/>
  <c r="Q92" i="1"/>
  <c r="A93" i="1"/>
  <c r="B93" i="1"/>
  <c r="C93" i="1"/>
  <c r="D93" i="1"/>
  <c r="E93" i="1"/>
  <c r="F93" i="1"/>
  <c r="H93" i="1"/>
  <c r="I93" i="1"/>
  <c r="J93" i="1"/>
  <c r="K93" i="1"/>
  <c r="L93" i="1"/>
  <c r="M93" i="1"/>
  <c r="N93" i="1"/>
  <c r="O93" i="1"/>
  <c r="Q93" i="1"/>
  <c r="A94" i="1"/>
  <c r="B94" i="1"/>
  <c r="C94" i="1"/>
  <c r="D94" i="1"/>
  <c r="E94" i="1"/>
  <c r="F94" i="1"/>
  <c r="H94" i="1"/>
  <c r="I94" i="1"/>
  <c r="J94" i="1"/>
  <c r="K94" i="1"/>
  <c r="L94" i="1"/>
  <c r="M94" i="1"/>
  <c r="N94" i="1"/>
  <c r="O94" i="1"/>
  <c r="Q94" i="1"/>
  <c r="A95" i="1"/>
  <c r="B95" i="1"/>
  <c r="C95" i="1"/>
  <c r="D95" i="1"/>
  <c r="E95" i="1"/>
  <c r="F95" i="1"/>
  <c r="H95" i="1"/>
  <c r="I95" i="1"/>
  <c r="J95" i="1"/>
  <c r="K95" i="1"/>
  <c r="L95" i="1"/>
  <c r="M95" i="1"/>
  <c r="N95" i="1"/>
  <c r="O95" i="1"/>
  <c r="Q95" i="1"/>
  <c r="A96" i="1"/>
  <c r="B96" i="1"/>
  <c r="C96" i="1"/>
  <c r="D96" i="1"/>
  <c r="E96" i="1"/>
  <c r="F96" i="1"/>
  <c r="H96" i="1"/>
  <c r="I96" i="1"/>
  <c r="J96" i="1"/>
  <c r="K96" i="1"/>
  <c r="L96" i="1"/>
  <c r="M96" i="1"/>
  <c r="N96" i="1"/>
  <c r="O96" i="1"/>
  <c r="Q96" i="1"/>
  <c r="A97" i="1"/>
  <c r="B97" i="1"/>
  <c r="C97" i="1"/>
  <c r="D97" i="1"/>
  <c r="E97" i="1"/>
  <c r="F97" i="1"/>
  <c r="H97" i="1"/>
  <c r="I97" i="1"/>
  <c r="J97" i="1"/>
  <c r="K97" i="1"/>
  <c r="L97" i="1"/>
  <c r="M97" i="1"/>
  <c r="N97" i="1"/>
  <c r="O97" i="1"/>
  <c r="Q97" i="1"/>
  <c r="A98" i="1"/>
  <c r="B98" i="1"/>
  <c r="C98" i="1"/>
  <c r="D98" i="1"/>
  <c r="E98" i="1"/>
  <c r="F98" i="1"/>
  <c r="H98" i="1"/>
  <c r="I98" i="1"/>
  <c r="J98" i="1"/>
  <c r="K98" i="1"/>
  <c r="L98" i="1"/>
  <c r="M98" i="1"/>
  <c r="N98" i="1"/>
  <c r="O98" i="1"/>
  <c r="Q98" i="1"/>
  <c r="A99" i="1"/>
  <c r="B99" i="1"/>
  <c r="C99" i="1"/>
  <c r="D99" i="1"/>
  <c r="E99" i="1"/>
  <c r="F99" i="1"/>
  <c r="H99" i="1"/>
  <c r="I99" i="1"/>
  <c r="J99" i="1"/>
  <c r="K99" i="1"/>
  <c r="L99" i="1"/>
  <c r="M99" i="1"/>
  <c r="N99" i="1"/>
  <c r="O99" i="1"/>
  <c r="Q99" i="1"/>
  <c r="A100" i="1"/>
  <c r="B100" i="1"/>
  <c r="C100" i="1"/>
  <c r="D100" i="1"/>
  <c r="E100" i="1"/>
  <c r="F100" i="1"/>
  <c r="H100" i="1"/>
  <c r="I100" i="1"/>
  <c r="J100" i="1"/>
  <c r="K100" i="1"/>
  <c r="L100" i="1"/>
  <c r="M100" i="1"/>
  <c r="N100" i="1"/>
  <c r="O100" i="1"/>
  <c r="Q100" i="1"/>
  <c r="A101" i="1"/>
  <c r="B101" i="1"/>
  <c r="C101" i="1"/>
  <c r="D101" i="1"/>
  <c r="E101" i="1"/>
  <c r="F101" i="1"/>
  <c r="H101" i="1"/>
  <c r="I101" i="1"/>
  <c r="J101" i="1"/>
  <c r="K101" i="1"/>
  <c r="L101" i="1"/>
  <c r="M101" i="1"/>
  <c r="N101" i="1"/>
  <c r="O101" i="1"/>
  <c r="Q101" i="1"/>
  <c r="A102" i="1"/>
  <c r="B102" i="1"/>
  <c r="C102" i="1"/>
  <c r="D102" i="1"/>
  <c r="E102" i="1"/>
  <c r="F102" i="1"/>
  <c r="H102" i="1"/>
  <c r="I102" i="1"/>
  <c r="J102" i="1"/>
  <c r="K102" i="1"/>
  <c r="L102" i="1"/>
  <c r="M102" i="1"/>
  <c r="N102" i="1"/>
  <c r="O102" i="1"/>
  <c r="Q102" i="1"/>
  <c r="A103" i="1"/>
  <c r="B103" i="1"/>
  <c r="C103" i="1"/>
  <c r="D103" i="1"/>
  <c r="E103" i="1"/>
  <c r="F103" i="1"/>
  <c r="H103" i="1"/>
  <c r="I103" i="1"/>
  <c r="J103" i="1"/>
  <c r="K103" i="1"/>
  <c r="L103" i="1"/>
  <c r="M103" i="1"/>
  <c r="N103" i="1"/>
  <c r="O103" i="1"/>
  <c r="Q103" i="1"/>
  <c r="A104" i="1"/>
  <c r="B104" i="1"/>
  <c r="C104" i="1"/>
  <c r="D104" i="1"/>
  <c r="E104" i="1"/>
  <c r="F104" i="1"/>
  <c r="H104" i="1"/>
  <c r="I104" i="1"/>
  <c r="J104" i="1"/>
  <c r="K104" i="1"/>
  <c r="L104" i="1"/>
  <c r="M104" i="1"/>
  <c r="N104" i="1"/>
  <c r="O104" i="1"/>
  <c r="Q104" i="1"/>
  <c r="A105" i="1"/>
  <c r="B105" i="1"/>
  <c r="C105" i="1"/>
  <c r="D105" i="1"/>
  <c r="E105" i="1"/>
  <c r="F105" i="1"/>
  <c r="H105" i="1"/>
  <c r="I105" i="1"/>
  <c r="J105" i="1"/>
  <c r="K105" i="1"/>
  <c r="L105" i="1"/>
  <c r="M105" i="1"/>
  <c r="N105" i="1"/>
  <c r="O105" i="1"/>
  <c r="Q105" i="1"/>
  <c r="A106" i="1"/>
  <c r="B106" i="1"/>
  <c r="C106" i="1"/>
  <c r="D106" i="1"/>
  <c r="E106" i="1"/>
  <c r="F106" i="1"/>
  <c r="H106" i="1"/>
  <c r="I106" i="1"/>
  <c r="J106" i="1"/>
  <c r="K106" i="1"/>
  <c r="L106" i="1"/>
  <c r="M106" i="1"/>
  <c r="N106" i="1"/>
  <c r="O106" i="1"/>
  <c r="Q106" i="1"/>
  <c r="A107" i="1"/>
  <c r="B107" i="1"/>
  <c r="C107" i="1"/>
  <c r="D107" i="1"/>
  <c r="E107" i="1"/>
  <c r="F107" i="1"/>
  <c r="H107" i="1"/>
  <c r="I107" i="1"/>
  <c r="J107" i="1"/>
  <c r="K107" i="1"/>
  <c r="L107" i="1"/>
  <c r="M107" i="1"/>
  <c r="N107" i="1"/>
  <c r="O107" i="1"/>
  <c r="Q107" i="1"/>
  <c r="A108" i="1"/>
  <c r="B108" i="1"/>
  <c r="C108" i="1"/>
  <c r="D108" i="1"/>
  <c r="E108" i="1"/>
  <c r="F108" i="1"/>
  <c r="H108" i="1"/>
  <c r="I108" i="1"/>
  <c r="J108" i="1"/>
  <c r="K108" i="1"/>
  <c r="L108" i="1"/>
  <c r="M108" i="1"/>
  <c r="N108" i="1"/>
  <c r="O108" i="1"/>
  <c r="Q108" i="1"/>
  <c r="A109" i="1"/>
  <c r="B109" i="1"/>
  <c r="C109" i="1"/>
  <c r="D109" i="1"/>
  <c r="E109" i="1"/>
  <c r="F109" i="1"/>
  <c r="H109" i="1"/>
  <c r="I109" i="1"/>
  <c r="J109" i="1"/>
  <c r="K109" i="1"/>
  <c r="L109" i="1"/>
  <c r="M109" i="1"/>
  <c r="N109" i="1"/>
  <c r="O109" i="1"/>
  <c r="Q109" i="1"/>
  <c r="A110" i="1"/>
  <c r="B110" i="1"/>
  <c r="C110" i="1"/>
  <c r="D110" i="1"/>
  <c r="E110" i="1"/>
  <c r="F110" i="1"/>
  <c r="H110" i="1"/>
  <c r="I110" i="1"/>
  <c r="J110" i="1"/>
  <c r="K110" i="1"/>
  <c r="L110" i="1"/>
  <c r="M110" i="1"/>
  <c r="N110" i="1"/>
  <c r="O110" i="1"/>
  <c r="Q110" i="1"/>
  <c r="A111" i="1"/>
  <c r="B111" i="1"/>
  <c r="C111" i="1"/>
  <c r="D111" i="1"/>
  <c r="E111" i="1"/>
  <c r="F111" i="1"/>
  <c r="H111" i="1"/>
  <c r="I111" i="1"/>
  <c r="J111" i="1"/>
  <c r="K111" i="1"/>
  <c r="L111" i="1"/>
  <c r="M111" i="1"/>
  <c r="N111" i="1"/>
  <c r="O111" i="1"/>
  <c r="Q111" i="1"/>
  <c r="A112" i="1"/>
  <c r="B112" i="1"/>
  <c r="C112" i="1"/>
  <c r="D112" i="1"/>
  <c r="E112" i="1"/>
  <c r="F112" i="1"/>
  <c r="H112" i="1"/>
  <c r="I112" i="1"/>
  <c r="J112" i="1"/>
  <c r="K112" i="1"/>
  <c r="L112" i="1"/>
  <c r="M112" i="1"/>
  <c r="N112" i="1"/>
  <c r="O112" i="1"/>
  <c r="Q112" i="1"/>
  <c r="A113" i="1"/>
  <c r="B113" i="1"/>
  <c r="C113" i="1"/>
  <c r="D113" i="1"/>
  <c r="E113" i="1"/>
  <c r="F113" i="1"/>
  <c r="H113" i="1"/>
  <c r="I113" i="1"/>
  <c r="J113" i="1"/>
  <c r="K113" i="1"/>
  <c r="L113" i="1"/>
  <c r="M113" i="1"/>
  <c r="N113" i="1"/>
  <c r="O113" i="1"/>
  <c r="Q113" i="1"/>
  <c r="A114" i="1"/>
  <c r="B114" i="1"/>
  <c r="C114" i="1"/>
  <c r="D114" i="1"/>
  <c r="E114" i="1"/>
  <c r="F114" i="1"/>
  <c r="H114" i="1"/>
  <c r="I114" i="1"/>
  <c r="J114" i="1"/>
  <c r="K114" i="1"/>
  <c r="L114" i="1"/>
  <c r="M114" i="1"/>
  <c r="N114" i="1"/>
  <c r="O114" i="1"/>
  <c r="Q114" i="1"/>
  <c r="A115" i="1"/>
  <c r="B115" i="1"/>
  <c r="C115" i="1"/>
  <c r="D115" i="1"/>
  <c r="E115" i="1"/>
  <c r="F115" i="1"/>
  <c r="H115" i="1"/>
  <c r="I115" i="1"/>
  <c r="J115" i="1"/>
  <c r="K115" i="1"/>
  <c r="L115" i="1"/>
  <c r="M115" i="1"/>
  <c r="N115" i="1"/>
  <c r="O115" i="1"/>
  <c r="Q115" i="1"/>
  <c r="A116" i="1"/>
  <c r="B116" i="1"/>
  <c r="C116" i="1"/>
  <c r="D116" i="1"/>
  <c r="E116" i="1"/>
  <c r="F116" i="1"/>
  <c r="H116" i="1"/>
  <c r="I116" i="1"/>
  <c r="J116" i="1"/>
  <c r="K116" i="1"/>
  <c r="L116" i="1"/>
  <c r="M116" i="1"/>
  <c r="N116" i="1"/>
  <c r="O116" i="1"/>
  <c r="Q116" i="1"/>
  <c r="A117" i="1"/>
  <c r="B117" i="1"/>
  <c r="C117" i="1"/>
  <c r="D117" i="1"/>
  <c r="E117" i="1"/>
  <c r="F117" i="1"/>
  <c r="H117" i="1"/>
  <c r="I117" i="1"/>
  <c r="J117" i="1"/>
  <c r="K117" i="1"/>
  <c r="L117" i="1"/>
  <c r="M117" i="1"/>
  <c r="N117" i="1"/>
  <c r="O117" i="1"/>
  <c r="Q117" i="1"/>
  <c r="A118" i="1"/>
  <c r="B118" i="1"/>
  <c r="C118" i="1"/>
  <c r="D118" i="1"/>
  <c r="E118" i="1"/>
  <c r="F118" i="1"/>
  <c r="H118" i="1"/>
  <c r="I118" i="1"/>
  <c r="J118" i="1"/>
  <c r="K118" i="1"/>
  <c r="L118" i="1"/>
  <c r="M118" i="1"/>
  <c r="N118" i="1"/>
  <c r="O118" i="1"/>
  <c r="Q118" i="1"/>
  <c r="A119" i="1"/>
  <c r="B119" i="1"/>
  <c r="C119" i="1"/>
  <c r="D119" i="1"/>
  <c r="E119" i="1"/>
  <c r="F119" i="1"/>
  <c r="H119" i="1"/>
  <c r="I119" i="1"/>
  <c r="J119" i="1"/>
  <c r="K119" i="1"/>
  <c r="L119" i="1"/>
  <c r="M119" i="1"/>
  <c r="N119" i="1"/>
  <c r="O119" i="1"/>
  <c r="Q119" i="1"/>
  <c r="A120" i="1"/>
  <c r="B120" i="1"/>
  <c r="C120" i="1"/>
  <c r="D120" i="1"/>
  <c r="E120" i="1"/>
  <c r="F120" i="1"/>
  <c r="H120" i="1"/>
  <c r="I120" i="1"/>
  <c r="J120" i="1"/>
  <c r="K120" i="1"/>
  <c r="L120" i="1"/>
  <c r="M120" i="1"/>
  <c r="N120" i="1"/>
  <c r="O120" i="1"/>
  <c r="Q120" i="1"/>
  <c r="A121" i="1"/>
  <c r="B121" i="1"/>
  <c r="C121" i="1"/>
  <c r="D121" i="1"/>
  <c r="E121" i="1"/>
  <c r="F121" i="1"/>
  <c r="H121" i="1"/>
  <c r="I121" i="1"/>
  <c r="J121" i="1"/>
  <c r="K121" i="1"/>
  <c r="L121" i="1"/>
  <c r="M121" i="1"/>
  <c r="N121" i="1"/>
  <c r="O121" i="1"/>
  <c r="Q121" i="1"/>
  <c r="A122" i="1"/>
  <c r="B122" i="1"/>
  <c r="C122" i="1"/>
  <c r="D122" i="1"/>
  <c r="E122" i="1"/>
  <c r="F122" i="1"/>
  <c r="H122" i="1"/>
  <c r="I122" i="1"/>
  <c r="J122" i="1"/>
  <c r="K122" i="1"/>
  <c r="L122" i="1"/>
  <c r="M122" i="1"/>
  <c r="N122" i="1"/>
  <c r="O122" i="1"/>
  <c r="Q122" i="1"/>
  <c r="A123" i="1"/>
  <c r="B123" i="1"/>
  <c r="C123" i="1"/>
  <c r="D123" i="1"/>
  <c r="E123" i="1"/>
  <c r="F123" i="1"/>
  <c r="H123" i="1"/>
  <c r="I123" i="1"/>
  <c r="J123" i="1"/>
  <c r="K123" i="1"/>
  <c r="L123" i="1"/>
  <c r="M123" i="1"/>
  <c r="N123" i="1"/>
  <c r="O123" i="1"/>
  <c r="Q123" i="1"/>
  <c r="A124" i="1"/>
  <c r="B124" i="1"/>
  <c r="C124" i="1"/>
  <c r="D124" i="1"/>
  <c r="E124" i="1"/>
  <c r="F124" i="1"/>
  <c r="H124" i="1"/>
  <c r="I124" i="1"/>
  <c r="J124" i="1"/>
  <c r="K124" i="1"/>
  <c r="L124" i="1"/>
  <c r="M124" i="1"/>
  <c r="N124" i="1"/>
  <c r="O124" i="1"/>
  <c r="Q124" i="1"/>
  <c r="A125" i="1"/>
  <c r="B125" i="1"/>
  <c r="C125" i="1"/>
  <c r="D125" i="1"/>
  <c r="E125" i="1"/>
  <c r="F125" i="1"/>
  <c r="H125" i="1"/>
  <c r="I125" i="1"/>
  <c r="J125" i="1"/>
  <c r="K125" i="1"/>
  <c r="L125" i="1"/>
  <c r="M125" i="1"/>
  <c r="N125" i="1"/>
  <c r="O125" i="1"/>
  <c r="Q125" i="1"/>
  <c r="A126" i="1"/>
  <c r="B126" i="1"/>
  <c r="C126" i="1"/>
  <c r="D126" i="1"/>
  <c r="E126" i="1"/>
  <c r="F126" i="1"/>
  <c r="H126" i="1"/>
  <c r="I126" i="1"/>
  <c r="J126" i="1"/>
  <c r="K126" i="1"/>
  <c r="L126" i="1"/>
  <c r="M126" i="1"/>
  <c r="N126" i="1"/>
  <c r="O126" i="1"/>
  <c r="Q126" i="1"/>
  <c r="A127" i="1"/>
  <c r="B127" i="1"/>
  <c r="C127" i="1"/>
  <c r="D127" i="1"/>
  <c r="E127" i="1"/>
  <c r="F127" i="1"/>
  <c r="H127" i="1"/>
  <c r="I127" i="1"/>
  <c r="J127" i="1"/>
  <c r="K127" i="1"/>
  <c r="L127" i="1"/>
  <c r="M127" i="1"/>
  <c r="N127" i="1"/>
  <c r="O127" i="1"/>
  <c r="Q127" i="1"/>
  <c r="A128" i="1"/>
  <c r="B128" i="1"/>
  <c r="C128" i="1"/>
  <c r="D128" i="1"/>
  <c r="E128" i="1"/>
  <c r="F128" i="1"/>
  <c r="H128" i="1"/>
  <c r="I128" i="1"/>
  <c r="J128" i="1"/>
  <c r="K128" i="1"/>
  <c r="L128" i="1"/>
  <c r="M128" i="1"/>
  <c r="N128" i="1"/>
  <c r="O128" i="1"/>
  <c r="Q128" i="1"/>
  <c r="A129" i="1"/>
  <c r="B129" i="1"/>
  <c r="C129" i="1"/>
  <c r="D129" i="1"/>
  <c r="E129" i="1"/>
  <c r="F129" i="1"/>
  <c r="H129" i="1"/>
  <c r="I129" i="1"/>
  <c r="J129" i="1"/>
  <c r="K129" i="1"/>
  <c r="L129" i="1"/>
  <c r="M129" i="1"/>
  <c r="N129" i="1"/>
  <c r="O129" i="1"/>
  <c r="Q129" i="1"/>
  <c r="A130" i="1"/>
  <c r="B130" i="1"/>
  <c r="C130" i="1"/>
  <c r="D130" i="1"/>
  <c r="E130" i="1"/>
  <c r="F130" i="1"/>
  <c r="H130" i="1"/>
  <c r="I130" i="1"/>
  <c r="J130" i="1"/>
  <c r="K130" i="1"/>
  <c r="L130" i="1"/>
  <c r="M130" i="1"/>
  <c r="N130" i="1"/>
  <c r="O130" i="1"/>
  <c r="Q130" i="1"/>
  <c r="A131" i="1"/>
  <c r="B131" i="1"/>
  <c r="C131" i="1"/>
  <c r="D131" i="1"/>
  <c r="E131" i="1"/>
  <c r="F131" i="1"/>
  <c r="H131" i="1"/>
  <c r="I131" i="1"/>
  <c r="J131" i="1"/>
  <c r="K131" i="1"/>
  <c r="L131" i="1"/>
  <c r="M131" i="1"/>
  <c r="N131" i="1"/>
  <c r="O131" i="1"/>
  <c r="Q131" i="1"/>
  <c r="A132" i="1"/>
  <c r="B132" i="1"/>
  <c r="C132" i="1"/>
  <c r="D132" i="1"/>
  <c r="E132" i="1"/>
  <c r="F132" i="1"/>
  <c r="H132" i="1"/>
  <c r="I132" i="1"/>
  <c r="J132" i="1"/>
  <c r="K132" i="1"/>
  <c r="L132" i="1"/>
  <c r="M132" i="1"/>
  <c r="N132" i="1"/>
  <c r="O132" i="1"/>
  <c r="Q132" i="1"/>
  <c r="A133" i="1"/>
  <c r="B133" i="1"/>
  <c r="C133" i="1"/>
  <c r="D133" i="1"/>
  <c r="E133" i="1"/>
  <c r="F133" i="1"/>
  <c r="H133" i="1"/>
  <c r="I133" i="1"/>
  <c r="J133" i="1"/>
  <c r="K133" i="1"/>
  <c r="L133" i="1"/>
  <c r="M133" i="1"/>
  <c r="N133" i="1"/>
  <c r="O133" i="1"/>
  <c r="Q133" i="1"/>
  <c r="A134" i="1"/>
  <c r="B134" i="1"/>
  <c r="C134" i="1"/>
  <c r="D134" i="1"/>
  <c r="E134" i="1"/>
  <c r="F134" i="1"/>
  <c r="H134" i="1"/>
  <c r="I134" i="1"/>
  <c r="J134" i="1"/>
  <c r="K134" i="1"/>
  <c r="L134" i="1"/>
  <c r="M134" i="1"/>
  <c r="N134" i="1"/>
  <c r="O134" i="1"/>
  <c r="Q134" i="1"/>
  <c r="A135" i="1"/>
  <c r="B135" i="1"/>
  <c r="C135" i="1"/>
  <c r="D135" i="1"/>
  <c r="E135" i="1"/>
  <c r="F135" i="1"/>
  <c r="H135" i="1"/>
  <c r="I135" i="1"/>
  <c r="J135" i="1"/>
  <c r="K135" i="1"/>
  <c r="L135" i="1"/>
  <c r="M135" i="1"/>
  <c r="N135" i="1"/>
  <c r="O135" i="1"/>
  <c r="Q135" i="1"/>
  <c r="A136" i="1"/>
  <c r="B136" i="1"/>
  <c r="C136" i="1"/>
  <c r="D136" i="1"/>
  <c r="E136" i="1"/>
  <c r="F136" i="1"/>
  <c r="H136" i="1"/>
  <c r="I136" i="1"/>
  <c r="J136" i="1"/>
  <c r="K136" i="1"/>
  <c r="L136" i="1"/>
  <c r="M136" i="1"/>
  <c r="N136" i="1"/>
  <c r="O136" i="1"/>
  <c r="Q136" i="1"/>
  <c r="A137" i="1"/>
  <c r="B137" i="1"/>
  <c r="C137" i="1"/>
  <c r="D137" i="1"/>
  <c r="E137" i="1"/>
  <c r="F137" i="1"/>
  <c r="H137" i="1"/>
  <c r="I137" i="1"/>
  <c r="J137" i="1"/>
  <c r="K137" i="1"/>
  <c r="L137" i="1"/>
  <c r="M137" i="1"/>
  <c r="N137" i="1"/>
  <c r="O137" i="1"/>
  <c r="Q137" i="1"/>
  <c r="A138" i="1"/>
  <c r="B138" i="1"/>
  <c r="C138" i="1"/>
  <c r="D138" i="1"/>
  <c r="E138" i="1"/>
  <c r="F138" i="1"/>
  <c r="H138" i="1"/>
  <c r="I138" i="1"/>
  <c r="J138" i="1"/>
  <c r="K138" i="1"/>
  <c r="L138" i="1"/>
  <c r="M138" i="1"/>
  <c r="N138" i="1"/>
  <c r="O138" i="1"/>
  <c r="Q138" i="1"/>
  <c r="A139" i="1"/>
  <c r="B139" i="1"/>
  <c r="C139" i="1"/>
  <c r="D139" i="1"/>
  <c r="E139" i="1"/>
  <c r="F139" i="1"/>
  <c r="H139" i="1"/>
  <c r="I139" i="1"/>
  <c r="J139" i="1"/>
  <c r="K139" i="1"/>
  <c r="L139" i="1"/>
  <c r="M139" i="1"/>
  <c r="N139" i="1"/>
  <c r="O139" i="1"/>
  <c r="Q139" i="1"/>
  <c r="A140" i="1"/>
  <c r="B140" i="1"/>
  <c r="C140" i="1"/>
  <c r="D140" i="1"/>
  <c r="E140" i="1"/>
  <c r="F140" i="1"/>
  <c r="H140" i="1"/>
  <c r="I140" i="1"/>
  <c r="J140" i="1"/>
  <c r="K140" i="1"/>
  <c r="L140" i="1"/>
  <c r="M140" i="1"/>
  <c r="N140" i="1"/>
  <c r="O140" i="1"/>
  <c r="Q140" i="1"/>
  <c r="A141" i="1"/>
  <c r="B141" i="1"/>
  <c r="C141" i="1"/>
  <c r="D141" i="1"/>
  <c r="E141" i="1"/>
  <c r="F141" i="1"/>
  <c r="H141" i="1"/>
  <c r="I141" i="1"/>
  <c r="J141" i="1"/>
  <c r="K141" i="1"/>
  <c r="L141" i="1"/>
  <c r="M141" i="1"/>
  <c r="N141" i="1"/>
  <c r="O141" i="1"/>
  <c r="Q141" i="1"/>
  <c r="A142" i="1"/>
  <c r="B142" i="1"/>
  <c r="C142" i="1"/>
  <c r="D142" i="1"/>
  <c r="E142" i="1"/>
  <c r="F142" i="1"/>
  <c r="H142" i="1"/>
  <c r="I142" i="1"/>
  <c r="J142" i="1"/>
  <c r="K142" i="1"/>
  <c r="L142" i="1"/>
  <c r="M142" i="1"/>
  <c r="N142" i="1"/>
  <c r="O142" i="1"/>
  <c r="Q142" i="1"/>
  <c r="A143" i="1"/>
  <c r="B143" i="1"/>
  <c r="C143" i="1"/>
  <c r="D143" i="1"/>
  <c r="E143" i="1"/>
  <c r="F143" i="1"/>
  <c r="H143" i="1"/>
  <c r="I143" i="1"/>
  <c r="J143" i="1"/>
  <c r="K143" i="1"/>
  <c r="L143" i="1"/>
  <c r="M143" i="1"/>
  <c r="N143" i="1"/>
  <c r="O143" i="1"/>
  <c r="Q143" i="1"/>
  <c r="A144" i="1"/>
  <c r="B144" i="1"/>
  <c r="C144" i="1"/>
  <c r="D144" i="1"/>
  <c r="E144" i="1"/>
  <c r="F144" i="1"/>
  <c r="H144" i="1"/>
  <c r="I144" i="1"/>
  <c r="J144" i="1"/>
  <c r="K144" i="1"/>
  <c r="L144" i="1"/>
  <c r="M144" i="1"/>
  <c r="N144" i="1"/>
  <c r="O144" i="1"/>
  <c r="Q144" i="1"/>
  <c r="A145" i="1"/>
  <c r="B145" i="1"/>
  <c r="C145" i="1"/>
  <c r="D145" i="1"/>
  <c r="E145" i="1"/>
  <c r="F145" i="1"/>
  <c r="H145" i="1"/>
  <c r="I145" i="1"/>
  <c r="J145" i="1"/>
  <c r="K145" i="1"/>
  <c r="L145" i="1"/>
  <c r="M145" i="1"/>
  <c r="N145" i="1"/>
  <c r="O145" i="1"/>
  <c r="Q145" i="1"/>
  <c r="A146" i="1"/>
  <c r="B146" i="1"/>
  <c r="C146" i="1"/>
  <c r="D146" i="1"/>
  <c r="E146" i="1"/>
  <c r="F146" i="1"/>
  <c r="H146" i="1"/>
  <c r="I146" i="1"/>
  <c r="J146" i="1"/>
  <c r="K146" i="1"/>
  <c r="L146" i="1"/>
  <c r="M146" i="1"/>
  <c r="N146" i="1"/>
  <c r="O146" i="1"/>
  <c r="Q146" i="1"/>
  <c r="A147" i="1"/>
  <c r="B147" i="1"/>
  <c r="C147" i="1"/>
  <c r="D147" i="1"/>
  <c r="E147" i="1"/>
  <c r="F147" i="1"/>
  <c r="H147" i="1"/>
  <c r="I147" i="1"/>
  <c r="J147" i="1"/>
  <c r="K147" i="1"/>
  <c r="L147" i="1"/>
  <c r="M147" i="1"/>
  <c r="N147" i="1"/>
  <c r="O147" i="1"/>
  <c r="Q147" i="1"/>
  <c r="A148" i="1"/>
  <c r="B148" i="1"/>
  <c r="C148" i="1"/>
  <c r="D148" i="1"/>
  <c r="E148" i="1"/>
  <c r="F148" i="1"/>
  <c r="H148" i="1"/>
  <c r="I148" i="1"/>
  <c r="J148" i="1"/>
  <c r="K148" i="1"/>
  <c r="L148" i="1"/>
  <c r="M148" i="1"/>
  <c r="N148" i="1"/>
  <c r="O148" i="1"/>
  <c r="Q148" i="1"/>
  <c r="A149" i="1"/>
  <c r="B149" i="1"/>
  <c r="C149" i="1"/>
  <c r="D149" i="1"/>
  <c r="E149" i="1"/>
  <c r="F149" i="1"/>
  <c r="H149" i="1"/>
  <c r="I149" i="1"/>
  <c r="J149" i="1"/>
  <c r="K149" i="1"/>
  <c r="L149" i="1"/>
  <c r="M149" i="1"/>
  <c r="N149" i="1"/>
  <c r="O149" i="1"/>
  <c r="Q149" i="1"/>
  <c r="A150" i="1"/>
  <c r="B150" i="1"/>
  <c r="C150" i="1"/>
  <c r="D150" i="1"/>
  <c r="E150" i="1"/>
  <c r="F150" i="1"/>
  <c r="H150" i="1"/>
  <c r="I150" i="1"/>
  <c r="J150" i="1"/>
  <c r="K150" i="1"/>
  <c r="L150" i="1"/>
  <c r="M150" i="1"/>
  <c r="N150" i="1"/>
  <c r="O150" i="1"/>
  <c r="Q150" i="1"/>
  <c r="A151" i="1"/>
  <c r="B151" i="1"/>
  <c r="C151" i="1"/>
  <c r="D151" i="1"/>
  <c r="E151" i="1"/>
  <c r="F151" i="1"/>
  <c r="H151" i="1"/>
  <c r="I151" i="1"/>
  <c r="J151" i="1"/>
  <c r="K151" i="1"/>
  <c r="L151" i="1"/>
  <c r="M151" i="1"/>
  <c r="N151" i="1"/>
  <c r="O151" i="1"/>
  <c r="Q151" i="1"/>
  <c r="A152" i="1"/>
  <c r="B152" i="1"/>
  <c r="C152" i="1"/>
  <c r="D152" i="1"/>
  <c r="E152" i="1"/>
  <c r="F152" i="1"/>
  <c r="H152" i="1"/>
  <c r="I152" i="1"/>
  <c r="J152" i="1"/>
  <c r="K152" i="1"/>
  <c r="L152" i="1"/>
  <c r="M152" i="1"/>
  <c r="N152" i="1"/>
  <c r="O152" i="1"/>
  <c r="Q152" i="1"/>
  <c r="A153" i="1"/>
  <c r="B153" i="1"/>
  <c r="C153" i="1"/>
  <c r="D153" i="1"/>
  <c r="E153" i="1"/>
  <c r="F153" i="1"/>
  <c r="H153" i="1"/>
  <c r="I153" i="1"/>
  <c r="J153" i="1"/>
  <c r="K153" i="1"/>
  <c r="L153" i="1"/>
  <c r="M153" i="1"/>
  <c r="N153" i="1"/>
  <c r="O153" i="1"/>
  <c r="Q153" i="1"/>
  <c r="A154" i="1"/>
  <c r="B154" i="1"/>
  <c r="C154" i="1"/>
  <c r="D154" i="1"/>
  <c r="E154" i="1"/>
  <c r="F154" i="1"/>
  <c r="H154" i="1"/>
  <c r="I154" i="1"/>
  <c r="J154" i="1"/>
  <c r="K154" i="1"/>
  <c r="L154" i="1"/>
  <c r="M154" i="1"/>
  <c r="N154" i="1"/>
  <c r="O154" i="1"/>
  <c r="Q154" i="1"/>
  <c r="A155" i="1"/>
  <c r="B155" i="1"/>
  <c r="C155" i="1"/>
  <c r="D155" i="1"/>
  <c r="E155" i="1"/>
  <c r="F155" i="1"/>
  <c r="H155" i="1"/>
  <c r="I155" i="1"/>
  <c r="J155" i="1"/>
  <c r="K155" i="1"/>
  <c r="L155" i="1"/>
  <c r="M155" i="1"/>
  <c r="N155" i="1"/>
  <c r="O155" i="1"/>
  <c r="Q155" i="1"/>
  <c r="A156" i="1"/>
  <c r="B156" i="1"/>
  <c r="C156" i="1"/>
  <c r="D156" i="1"/>
  <c r="E156" i="1"/>
  <c r="F156" i="1"/>
  <c r="H156" i="1"/>
  <c r="I156" i="1"/>
  <c r="J156" i="1"/>
  <c r="K156" i="1"/>
  <c r="L156" i="1"/>
  <c r="M156" i="1"/>
  <c r="N156" i="1"/>
  <c r="O156" i="1"/>
  <c r="Q156" i="1"/>
  <c r="A157" i="1"/>
  <c r="B157" i="1"/>
  <c r="C157" i="1"/>
  <c r="D157" i="1"/>
  <c r="E157" i="1"/>
  <c r="F157" i="1"/>
  <c r="H157" i="1"/>
  <c r="I157" i="1"/>
  <c r="J157" i="1"/>
  <c r="K157" i="1"/>
  <c r="L157" i="1"/>
  <c r="M157" i="1"/>
  <c r="N157" i="1"/>
  <c r="O157" i="1"/>
  <c r="Q157" i="1"/>
  <c r="A158" i="1"/>
  <c r="B158" i="1"/>
  <c r="C158" i="1"/>
  <c r="D158" i="1"/>
  <c r="E158" i="1"/>
  <c r="F158" i="1"/>
  <c r="H158" i="1"/>
  <c r="I158" i="1"/>
  <c r="J158" i="1"/>
  <c r="K158" i="1"/>
  <c r="L158" i="1"/>
  <c r="M158" i="1"/>
  <c r="N158" i="1"/>
  <c r="O158" i="1"/>
  <c r="Q158" i="1"/>
  <c r="A159" i="1"/>
  <c r="B159" i="1"/>
  <c r="C159" i="1"/>
  <c r="D159" i="1"/>
  <c r="E159" i="1"/>
  <c r="F159" i="1"/>
  <c r="H159" i="1"/>
  <c r="I159" i="1"/>
  <c r="J159" i="1"/>
  <c r="K159" i="1"/>
  <c r="L159" i="1"/>
  <c r="M159" i="1"/>
  <c r="N159" i="1"/>
  <c r="O159" i="1"/>
  <c r="Q159" i="1"/>
  <c r="A160" i="1"/>
  <c r="B160" i="1"/>
  <c r="C160" i="1"/>
  <c r="D160" i="1"/>
  <c r="E160" i="1"/>
  <c r="F160" i="1"/>
  <c r="H160" i="1"/>
  <c r="I160" i="1"/>
  <c r="J160" i="1"/>
  <c r="K160" i="1"/>
  <c r="L160" i="1"/>
  <c r="M160" i="1"/>
  <c r="N160" i="1"/>
  <c r="O160" i="1"/>
  <c r="Q160" i="1"/>
  <c r="A161" i="1"/>
  <c r="B161" i="1"/>
  <c r="C161" i="1"/>
  <c r="D161" i="1"/>
  <c r="E161" i="1"/>
  <c r="F161" i="1"/>
  <c r="H161" i="1"/>
  <c r="I161" i="1"/>
  <c r="J161" i="1"/>
  <c r="K161" i="1"/>
  <c r="L161" i="1"/>
  <c r="M161" i="1"/>
  <c r="N161" i="1"/>
  <c r="O161" i="1"/>
  <c r="Q161" i="1"/>
  <c r="A162" i="1"/>
  <c r="B162" i="1"/>
  <c r="C162" i="1"/>
  <c r="D162" i="1"/>
  <c r="E162" i="1"/>
  <c r="F162" i="1"/>
  <c r="H162" i="1"/>
  <c r="I162" i="1"/>
  <c r="J162" i="1"/>
  <c r="K162" i="1"/>
  <c r="L162" i="1"/>
  <c r="M162" i="1"/>
  <c r="N162" i="1"/>
  <c r="O162" i="1"/>
  <c r="Q162" i="1"/>
  <c r="A163" i="1"/>
  <c r="B163" i="1"/>
  <c r="C163" i="1"/>
  <c r="D163" i="1"/>
  <c r="E163" i="1"/>
  <c r="F163" i="1"/>
  <c r="H163" i="1"/>
  <c r="I163" i="1"/>
  <c r="J163" i="1"/>
  <c r="K163" i="1"/>
  <c r="L163" i="1"/>
  <c r="M163" i="1"/>
  <c r="N163" i="1"/>
  <c r="O163" i="1"/>
  <c r="Q163" i="1"/>
</calcChain>
</file>

<file path=xl/sharedStrings.xml><?xml version="1.0" encoding="utf-8"?>
<sst xmlns="http://schemas.openxmlformats.org/spreadsheetml/2006/main" count="226" uniqueCount="21">
  <si>
    <t>="final 8 samples!</t>
  </si>
  <si>
    <t xml:space="preserve">	_x000D_
_x000D_
=[System]"</t>
  </si>
  <si>
    <t>Sample Name</t>
  </si>
  <si>
    <t>Analysis(Inj.)</t>
  </si>
  <si>
    <t>Area</t>
  </si>
  <si>
    <t>Conc.</t>
  </si>
  <si>
    <t>NPOC</t>
  </si>
  <si>
    <t>C_cal_100ppm</t>
  </si>
  <si>
    <t>TN</t>
  </si>
  <si>
    <t>N_cal_25ppm_acid_laurel</t>
  </si>
  <si>
    <t>25ppm</t>
  </si>
  <si>
    <t>DI</t>
  </si>
  <si>
    <t>1037</t>
  </si>
  <si>
    <t>1039</t>
  </si>
  <si>
    <t>1041</t>
  </si>
  <si>
    <t>1043</t>
  </si>
  <si>
    <t>1038</t>
  </si>
  <si>
    <t>1040</t>
  </si>
  <si>
    <t>1042</t>
  </si>
  <si>
    <t>1044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</si>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</sst>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Sheet2!$D$2:$D$19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xVal>
          <c:yVal>
            <c:numRef>
              <c:f>Sheet2!$C$2:$C$19</c:f>
              <c:numCache>
                <c:formatCode>General</c:formatCode>
                <c:ptCount val="18"/>
                <c:pt idx="0">
                  <c:v>9.2129999999999992</c:v>
                </c:pt>
                <c:pt idx="1">
                  <c:v>9.4640000000000004</c:v>
                </c:pt>
                <c:pt idx="2">
                  <c:v>9.1859999999999999</c:v>
                </c:pt>
                <c:pt idx="3">
                  <c:v>24.29</c:v>
                </c:pt>
                <c:pt idx="4">
                  <c:v>24.46</c:v>
                </c:pt>
                <c:pt idx="5">
                  <c:v>24.29</c:v>
                </c:pt>
                <c:pt idx="6">
                  <c:v>48.1</c:v>
                </c:pt>
                <c:pt idx="7">
                  <c:v>47.87</c:v>
                </c:pt>
                <c:pt idx="8">
                  <c:v>49.61</c:v>
                </c:pt>
                <c:pt idx="9">
                  <c:v>97.54</c:v>
                </c:pt>
                <c:pt idx="10">
                  <c:v>98.93</c:v>
                </c:pt>
                <c:pt idx="11">
                  <c:v>98.82</c:v>
                </c:pt>
                <c:pt idx="12">
                  <c:v>246.9</c:v>
                </c:pt>
                <c:pt idx="13">
                  <c:v>251.1</c:v>
                </c:pt>
                <c:pt idx="14">
                  <c:v>252</c:v>
                </c:pt>
                <c:pt idx="15">
                  <c:v>501</c:v>
                </c:pt>
                <c:pt idx="16">
                  <c:v>514.79999999999995</c:v>
                </c:pt>
                <c:pt idx="17">
                  <c:v>508.5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0-E541-9A17-4E89A986B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026543"/>
        <c:axId val="1637710159"/>
      </c:scatterChart>
      <c:valAx>
        <c:axId val="162402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10159"/>
        <c:crosses val="autoZero"/>
        <c:crossBetween val="midCat"/>
      </c:valAx>
      <c:valAx>
        <c:axId val="16377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2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Sheet2!$K$2:$K$19</c:f>
              <c:numCache>
                <c:formatCode>General</c:formatCode>
                <c:ptCount val="1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1.667</c:v>
                </c:pt>
                <c:pt idx="7">
                  <c:v>1.667</c:v>
                </c:pt>
                <c:pt idx="8">
                  <c:v>1.667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xVal>
          <c:yVal>
            <c:numRef>
              <c:f>Sheet2!$J$2:$J$19</c:f>
              <c:numCache>
                <c:formatCode>General</c:formatCode>
                <c:ptCount val="18"/>
                <c:pt idx="0">
                  <c:v>2.2829999999999999</c:v>
                </c:pt>
                <c:pt idx="1">
                  <c:v>2.3540000000000001</c:v>
                </c:pt>
                <c:pt idx="2">
                  <c:v>2.0569999999999999</c:v>
                </c:pt>
                <c:pt idx="3">
                  <c:v>5.4279999999999999</c:v>
                </c:pt>
                <c:pt idx="4">
                  <c:v>5.4240000000000004</c:v>
                </c:pt>
                <c:pt idx="5">
                  <c:v>5.0999999999999996</c:v>
                </c:pt>
                <c:pt idx="6">
                  <c:v>9.1359999999999992</c:v>
                </c:pt>
                <c:pt idx="7">
                  <c:v>9.2059999999999995</c:v>
                </c:pt>
                <c:pt idx="8">
                  <c:v>9.1170000000000009</c:v>
                </c:pt>
                <c:pt idx="9">
                  <c:v>28.16</c:v>
                </c:pt>
                <c:pt idx="10">
                  <c:v>27.89</c:v>
                </c:pt>
                <c:pt idx="11">
                  <c:v>27.62</c:v>
                </c:pt>
                <c:pt idx="12">
                  <c:v>70.709999999999994</c:v>
                </c:pt>
                <c:pt idx="13">
                  <c:v>70.59</c:v>
                </c:pt>
                <c:pt idx="14">
                  <c:v>68.709999999999994</c:v>
                </c:pt>
                <c:pt idx="15">
                  <c:v>139.1</c:v>
                </c:pt>
                <c:pt idx="16">
                  <c:v>142.5</c:v>
                </c:pt>
                <c:pt idx="17">
                  <c:v>142.19999999999999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B-FD4D-838D-31146353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026543"/>
        <c:axId val="1637710159"/>
      </c:scatterChart>
      <c:valAx>
        <c:axId val="162402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10159"/>
        <c:crosses val="autoZero"/>
        <c:crossBetween val="midCat"/>
      </c:valAx>
      <c:valAx>
        <c:axId val="16377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2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3</xdr:row>
      <xdr:rowOff>12700</xdr:rowOff>
    </xdr:from>
    <xdr:to>
      <xdr:col>6</xdr:col>
      <xdr:colOff>679450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5B576-ECFC-B240-97FC-B7004D719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</xdr:row>
      <xdr:rowOff>0</xdr:rowOff>
    </xdr:from>
    <xdr:to>
      <xdr:col>17</xdr:col>
      <xdr:colOff>444500</xdr:colOff>
      <xdr:row>17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8326C2-2CAD-B24E-B1B4-A4EC5419C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E3D9-BBE1-364A-B0A8-71082D248937}">
  <dimension ref="A1:Q163"/>
  <sheetViews>
    <sheetView workbookViewId="0">
      <selection activeCell="M15" sqref="A13:Q163"/>
    </sheetView>
  </sheetViews>
  <sheetFormatPr baseColWidth="10" defaultRowHeight="16" x14ac:dyDescent="0.2"/>
  <sheetData>
    <row r="1" spans="1:17" x14ac:dyDescent="0.2">
      <c r="A1" t="str">
        <f>"[Header]"</f>
        <v>[Header]</v>
      </c>
    </row>
    <row r="2" spans="1:17" x14ac:dyDescent="0.2">
      <c r="A2" t="str">
        <f>"System"</f>
        <v>System</v>
      </c>
      <c r="B2" t="str">
        <f>"TOC-Vcpn"</f>
        <v>TOC-Vcpn</v>
      </c>
    </row>
    <row r="3" spans="1:17" x14ac:dyDescent="0.2">
      <c r="A3" t="str">
        <f>"File Ver."</f>
        <v>File Ver.</v>
      </c>
      <c r="B3" t="str">
        <f>"00.00.01E"</f>
        <v>00.00.01E</v>
      </c>
    </row>
    <row r="4" spans="1:17" x14ac:dyDescent="0.2">
      <c r="A4" t="str">
        <f>"User"</f>
        <v>User</v>
      </c>
      <c r="B4" t="str">
        <f>""</f>
        <v/>
      </c>
    </row>
    <row r="5" spans="1:17" x14ac:dyDescent="0.2">
      <c r="A5" t="str">
        <f>"Date of creation"</f>
        <v>Date of creation</v>
      </c>
      <c r="B5" t="str">
        <f>"8/5/2019 11:00:05 AM"</f>
        <v>8/5/2019 11:00:05 AM</v>
      </c>
    </row>
    <row r="6" spans="1:17" x14ac:dyDescent="0.2">
      <c r="A6" t="str">
        <f>"Comments"</f>
        <v>Comments</v>
      </c>
      <c r="B6" t="s">
        <v>0</v>
      </c>
    </row>
    <row r="8" spans="1:17" x14ac:dyDescent="0.2">
      <c r="A8" s="1" t="s">
        <v>1</v>
      </c>
    </row>
    <row r="9" spans="1:17" x14ac:dyDescent="0.2">
      <c r="A9" t="str">
        <f>"Detector"</f>
        <v>Detector</v>
      </c>
      <c r="B9" t="str">
        <f>"Combustion"</f>
        <v>Combustion</v>
      </c>
    </row>
    <row r="10" spans="1:17" x14ac:dyDescent="0.2">
      <c r="A10" t="str">
        <f>"Catalyst"</f>
        <v>Catalyst</v>
      </c>
      <c r="B10" t="str">
        <f>"High Sensitivity"</f>
        <v>High Sensitivity</v>
      </c>
    </row>
    <row r="11" spans="1:17" x14ac:dyDescent="0.2">
      <c r="A11" t="str">
        <f>"ASI Tray"</f>
        <v>ASI Tray</v>
      </c>
      <c r="B11" t="str">
        <f>"40 mL Vials"</f>
        <v>40 mL Vials</v>
      </c>
    </row>
    <row r="13" spans="1:17" x14ac:dyDescent="0.2">
      <c r="A13" t="str">
        <f>"[Data]"</f>
        <v>[Data]</v>
      </c>
    </row>
    <row r="14" spans="1:17" x14ac:dyDescent="0.2">
      <c r="A14" t="str">
        <f>"Type"</f>
        <v>Type</v>
      </c>
      <c r="B14" t="str">
        <f>"Anal."</f>
        <v>Anal.</v>
      </c>
      <c r="C14" t="str">
        <f>"Sample Name"</f>
        <v>Sample Name</v>
      </c>
      <c r="D14" t="str">
        <f>"Sample ID"</f>
        <v>Sample ID</v>
      </c>
      <c r="E14" t="str">
        <f>"Origin"</f>
        <v>Origin</v>
      </c>
      <c r="F14" t="str">
        <f>"Cal. Curve"</f>
        <v>Cal. Curve</v>
      </c>
      <c r="G14" t="str">
        <f>"Dil."</f>
        <v>Dil.</v>
      </c>
      <c r="H14" t="str">
        <f>"Notes"</f>
        <v>Notes</v>
      </c>
      <c r="I14" t="str">
        <f>"Date / Time"</f>
        <v>Date / Time</v>
      </c>
      <c r="J14" t="str">
        <f>"Spl. No."</f>
        <v>Spl. No.</v>
      </c>
      <c r="K14" t="str">
        <f>"Inj. No."</f>
        <v>Inj. No.</v>
      </c>
      <c r="L14" t="str">
        <f>"Analysis(Inj.)"</f>
        <v>Analysis(Inj.)</v>
      </c>
      <c r="M14" t="str">
        <f>"Area"</f>
        <v>Area</v>
      </c>
      <c r="N14" t="str">
        <f>"Conc."</f>
        <v>Conc.</v>
      </c>
      <c r="O14" t="str">
        <f>"Result"</f>
        <v>Result</v>
      </c>
      <c r="P14" t="str">
        <f>"Excluded"</f>
        <v>Excluded</v>
      </c>
      <c r="Q14" t="str">
        <f>"Inj. Vol."</f>
        <v>Inj. Vol.</v>
      </c>
    </row>
    <row r="15" spans="1:17" x14ac:dyDescent="0.2">
      <c r="A15" t="str">
        <f>"Standard"</f>
        <v>Standard</v>
      </c>
      <c r="B15" t="str">
        <f>"NPOC"</f>
        <v>NPOC</v>
      </c>
      <c r="C15" t="str">
        <f>"C_cal_100ppm"</f>
        <v>C_cal_100ppm</v>
      </c>
      <c r="D15" t="str">
        <f>"C_cal_100ppm"</f>
        <v>C_cal_100ppm</v>
      </c>
      <c r="E15" t="str">
        <f>"C:\TOC3201\CalCurves\Itamar\C_cal_100ppm_acid_laurel.2019_08_05_11_33_40.cal"</f>
        <v>C:\TOC3201\CalCurves\Itamar\C_cal_100ppm_acid_laurel.2019_08_05_11_33_40.cal</v>
      </c>
      <c r="F15" t="str">
        <f>""</f>
        <v/>
      </c>
      <c r="G15">
        <v>1</v>
      </c>
      <c r="H15" t="str">
        <f>""</f>
        <v/>
      </c>
      <c r="I15" t="str">
        <f>"8/5/2019 11:45:03 AM"</f>
        <v>8/5/2019 11:45:03 AM</v>
      </c>
      <c r="J15" t="str">
        <f>"1"</f>
        <v>1</v>
      </c>
      <c r="K15" t="str">
        <f>"1"</f>
        <v>1</v>
      </c>
      <c r="L15" t="str">
        <f>"NPOC"</f>
        <v>NPOC</v>
      </c>
      <c r="M15" t="str">
        <f>"5.954"</f>
        <v>5.954</v>
      </c>
      <c r="N15" t="str">
        <f>"2.000"</f>
        <v>2.000</v>
      </c>
      <c r="O15" t="str">
        <f>" "</f>
        <v xml:space="preserve"> </v>
      </c>
      <c r="P15">
        <v>1</v>
      </c>
      <c r="Q15" t="str">
        <f>"80"</f>
        <v>80</v>
      </c>
    </row>
    <row r="16" spans="1:17" x14ac:dyDescent="0.2">
      <c r="A16" t="str">
        <f>"Standard"</f>
        <v>Standard</v>
      </c>
      <c r="B16" t="str">
        <f>"NPOC"</f>
        <v>NPOC</v>
      </c>
      <c r="C16" t="str">
        <f>"C_cal_100ppm"</f>
        <v>C_cal_100ppm</v>
      </c>
      <c r="D16" t="str">
        <f>"C_cal_100ppm"</f>
        <v>C_cal_100ppm</v>
      </c>
      <c r="E16" t="str">
        <f>"C:\TOC3201\CalCurves\Itamar\C_cal_100ppm_acid_laurel.2019_08_05_11_33_40.cal"</f>
        <v>C:\TOC3201\CalCurves\Itamar\C_cal_100ppm_acid_laurel.2019_08_05_11_33_40.cal</v>
      </c>
      <c r="F16" t="str">
        <f>""</f>
        <v/>
      </c>
      <c r="G16">
        <v>1</v>
      </c>
      <c r="H16" t="str">
        <f>""</f>
        <v/>
      </c>
      <c r="I16" t="str">
        <f>"8/5/2019 11:48:17 AM"</f>
        <v>8/5/2019 11:48:17 AM</v>
      </c>
      <c r="J16" t="str">
        <f>"1"</f>
        <v>1</v>
      </c>
      <c r="K16" t="str">
        <f>"2"</f>
        <v>2</v>
      </c>
      <c r="L16" t="str">
        <f>"NPOC"</f>
        <v>NPOC</v>
      </c>
      <c r="M16" t="str">
        <f>"9.213"</f>
        <v>9.213</v>
      </c>
      <c r="N16" t="str">
        <f>"2.000"</f>
        <v>2.000</v>
      </c>
      <c r="O16" t="str">
        <f>" "</f>
        <v xml:space="preserve"> </v>
      </c>
      <c r="P16">
        <v>0</v>
      </c>
      <c r="Q16" t="str">
        <f>"80"</f>
        <v>80</v>
      </c>
    </row>
    <row r="17" spans="1:17" x14ac:dyDescent="0.2">
      <c r="A17" t="str">
        <f>"Standard"</f>
        <v>Standard</v>
      </c>
      <c r="B17" t="str">
        <f>"NPOC"</f>
        <v>NPOC</v>
      </c>
      <c r="C17" t="str">
        <f>"C_cal_100ppm"</f>
        <v>C_cal_100ppm</v>
      </c>
      <c r="D17" t="str">
        <f>"C_cal_100ppm"</f>
        <v>C_cal_100ppm</v>
      </c>
      <c r="E17" t="str">
        <f>"C:\TOC3201\CalCurves\Itamar\C_cal_100ppm_acid_laurel.2019_08_05_11_33_40.cal"</f>
        <v>C:\TOC3201\CalCurves\Itamar\C_cal_100ppm_acid_laurel.2019_08_05_11_33_40.cal</v>
      </c>
      <c r="F17" t="str">
        <f>""</f>
        <v/>
      </c>
      <c r="G17">
        <v>1</v>
      </c>
      <c r="H17" t="str">
        <f>""</f>
        <v/>
      </c>
      <c r="I17" t="str">
        <f>"8/5/2019 11:52:52 AM"</f>
        <v>8/5/2019 11:52:52 AM</v>
      </c>
      <c r="J17" t="str">
        <f>"1"</f>
        <v>1</v>
      </c>
      <c r="K17" t="str">
        <f>"3"</f>
        <v>3</v>
      </c>
      <c r="L17" t="str">
        <f>"NPOC"</f>
        <v>NPOC</v>
      </c>
      <c r="M17" t="str">
        <f>"9.464"</f>
        <v>9.464</v>
      </c>
      <c r="N17" t="str">
        <f>"2.000"</f>
        <v>2.000</v>
      </c>
      <c r="O17" t="str">
        <f>" "</f>
        <v xml:space="preserve"> </v>
      </c>
      <c r="P17">
        <v>0</v>
      </c>
      <c r="Q17" t="str">
        <f>"80"</f>
        <v>80</v>
      </c>
    </row>
    <row r="18" spans="1:17" x14ac:dyDescent="0.2">
      <c r="A18" t="str">
        <f>"Standard"</f>
        <v>Standard</v>
      </c>
      <c r="B18" t="str">
        <f>"NPOC"</f>
        <v>NPOC</v>
      </c>
      <c r="C18" t="str">
        <f>"C_cal_100ppm"</f>
        <v>C_cal_100ppm</v>
      </c>
      <c r="D18" t="str">
        <f>"C_cal_100ppm"</f>
        <v>C_cal_100ppm</v>
      </c>
      <c r="E18" t="str">
        <f>"C:\TOC3201\CalCurves\Itamar\C_cal_100ppm_acid_laurel.2019_08_05_11_33_40.cal"</f>
        <v>C:\TOC3201\CalCurves\Itamar\C_cal_100ppm_acid_laurel.2019_08_05_11_33_40.cal</v>
      </c>
      <c r="F18" t="str">
        <f>""</f>
        <v/>
      </c>
      <c r="G18">
        <v>1</v>
      </c>
      <c r="H18" t="str">
        <f>""</f>
        <v/>
      </c>
      <c r="I18" t="str">
        <f>"8/5/2019 11:56:13 AM"</f>
        <v>8/5/2019 11:56:13 AM</v>
      </c>
      <c r="J18" t="str">
        <f>"1"</f>
        <v>1</v>
      </c>
      <c r="K18" t="str">
        <f>"4"</f>
        <v>4</v>
      </c>
      <c r="L18" t="str">
        <f>"NPOC"</f>
        <v>NPOC</v>
      </c>
      <c r="M18" t="str">
        <f>"9.618"</f>
        <v>9.618</v>
      </c>
      <c r="N18" t="str">
        <f>"2.000"</f>
        <v>2.000</v>
      </c>
      <c r="O18" t="str">
        <f>" "</f>
        <v xml:space="preserve"> </v>
      </c>
      <c r="P18">
        <v>1</v>
      </c>
      <c r="Q18" t="str">
        <f>"80"</f>
        <v>80</v>
      </c>
    </row>
    <row r="19" spans="1:17" x14ac:dyDescent="0.2">
      <c r="A19" t="str">
        <f>"Standard"</f>
        <v>Standard</v>
      </c>
      <c r="B19" t="str">
        <f>"NPOC"</f>
        <v>NPOC</v>
      </c>
      <c r="C19" t="str">
        <f>"C_cal_100ppm"</f>
        <v>C_cal_100ppm</v>
      </c>
      <c r="D19" t="str">
        <f>"C_cal_100ppm"</f>
        <v>C_cal_100ppm</v>
      </c>
      <c r="E19" t="str">
        <f>"C:\TOC3201\CalCurves\Itamar\C_cal_100ppm_acid_laurel.2019_08_05_11_33_40.cal"</f>
        <v>C:\TOC3201\CalCurves\Itamar\C_cal_100ppm_acid_laurel.2019_08_05_11_33_40.cal</v>
      </c>
      <c r="F19" t="str">
        <f>""</f>
        <v/>
      </c>
      <c r="G19">
        <v>1</v>
      </c>
      <c r="H19" t="str">
        <f>""</f>
        <v/>
      </c>
      <c r="I19" t="str">
        <f>"8/5/2019 11:59:02 AM"</f>
        <v>8/5/2019 11:59:02 AM</v>
      </c>
      <c r="J19" t="str">
        <f>"1"</f>
        <v>1</v>
      </c>
      <c r="K19" t="str">
        <f>"5"</f>
        <v>5</v>
      </c>
      <c r="L19" t="str">
        <f>"NPOC"</f>
        <v>NPOC</v>
      </c>
      <c r="M19" t="str">
        <f>"9.186"</f>
        <v>9.186</v>
      </c>
      <c r="N19" t="str">
        <f>"2.000"</f>
        <v>2.000</v>
      </c>
      <c r="O19" t="str">
        <f>" "</f>
        <v xml:space="preserve"> </v>
      </c>
      <c r="P19">
        <v>0</v>
      </c>
      <c r="Q19" t="str">
        <f>"80"</f>
        <v>80</v>
      </c>
    </row>
    <row r="20" spans="1:17" x14ac:dyDescent="0.2">
      <c r="A20" t="str">
        <f>"Standard"</f>
        <v>Standard</v>
      </c>
      <c r="B20" t="str">
        <f>"NPOC"</f>
        <v>NPOC</v>
      </c>
      <c r="C20" t="str">
        <f>"C_cal_100ppm"</f>
        <v>C_cal_100ppm</v>
      </c>
      <c r="D20" t="str">
        <f>"C_cal_100ppm"</f>
        <v>C_cal_100ppm</v>
      </c>
      <c r="E20" t="str">
        <f>"C:\TOC3201\CalCurves\Itamar\C_cal_100ppm_acid_laurel.2019_08_05_11_33_40.cal"</f>
        <v>C:\TOC3201\CalCurves\Itamar\C_cal_100ppm_acid_laurel.2019_08_05_11_33_40.cal</v>
      </c>
      <c r="F20" t="str">
        <f>""</f>
        <v/>
      </c>
      <c r="G20">
        <v>1</v>
      </c>
      <c r="H20" t="str">
        <f>""</f>
        <v/>
      </c>
      <c r="I20" t="str">
        <f>"8/5/2019 12:07:26 PM"</f>
        <v>8/5/2019 12:07:26 PM</v>
      </c>
      <c r="J20" t="str">
        <f>"2"</f>
        <v>2</v>
      </c>
      <c r="K20" t="str">
        <f>"1"</f>
        <v>1</v>
      </c>
      <c r="L20" t="str">
        <f>"NPOC"</f>
        <v>NPOC</v>
      </c>
      <c r="M20" t="str">
        <f>"24.29"</f>
        <v>24.29</v>
      </c>
      <c r="N20" t="str">
        <f>"5.000"</f>
        <v>5.000</v>
      </c>
      <c r="O20" t="str">
        <f>" "</f>
        <v xml:space="preserve"> </v>
      </c>
      <c r="P20">
        <v>0</v>
      </c>
      <c r="Q20" t="str">
        <f>"80"</f>
        <v>80</v>
      </c>
    </row>
    <row r="21" spans="1:17" x14ac:dyDescent="0.2">
      <c r="A21" t="str">
        <f>"Standard"</f>
        <v>Standard</v>
      </c>
      <c r="B21" t="str">
        <f>"NPOC"</f>
        <v>NPOC</v>
      </c>
      <c r="C21" t="str">
        <f>"C_cal_100ppm"</f>
        <v>C_cal_100ppm</v>
      </c>
      <c r="D21" t="str">
        <f>"C_cal_100ppm"</f>
        <v>C_cal_100ppm</v>
      </c>
      <c r="E21" t="str">
        <f>"C:\TOC3201\CalCurves\Itamar\C_cal_100ppm_acid_laurel.2019_08_05_11_33_40.cal"</f>
        <v>C:\TOC3201\CalCurves\Itamar\C_cal_100ppm_acid_laurel.2019_08_05_11_33_40.cal</v>
      </c>
      <c r="F21" t="str">
        <f>""</f>
        <v/>
      </c>
      <c r="G21">
        <v>1</v>
      </c>
      <c r="H21" t="str">
        <f>""</f>
        <v/>
      </c>
      <c r="I21" t="str">
        <f>"8/5/2019 12:10:25 PM"</f>
        <v>8/5/2019 12:10:25 PM</v>
      </c>
      <c r="J21" t="str">
        <f>"2"</f>
        <v>2</v>
      </c>
      <c r="K21" t="str">
        <f>"2"</f>
        <v>2</v>
      </c>
      <c r="L21" t="str">
        <f>"NPOC"</f>
        <v>NPOC</v>
      </c>
      <c r="M21" t="str">
        <f>"24.46"</f>
        <v>24.46</v>
      </c>
      <c r="N21" t="str">
        <f>"5.000"</f>
        <v>5.000</v>
      </c>
      <c r="O21" t="str">
        <f>" "</f>
        <v xml:space="preserve"> </v>
      </c>
      <c r="P21">
        <v>0</v>
      </c>
      <c r="Q21" t="str">
        <f>"80"</f>
        <v>80</v>
      </c>
    </row>
    <row r="22" spans="1:17" x14ac:dyDescent="0.2">
      <c r="A22" t="str">
        <f>"Standard"</f>
        <v>Standard</v>
      </c>
      <c r="B22" t="str">
        <f>"NPOC"</f>
        <v>NPOC</v>
      </c>
      <c r="C22" t="str">
        <f>"C_cal_100ppm"</f>
        <v>C_cal_100ppm</v>
      </c>
      <c r="D22" t="str">
        <f>"C_cal_100ppm"</f>
        <v>C_cal_100ppm</v>
      </c>
      <c r="E22" t="str">
        <f>"C:\TOC3201\CalCurves\Itamar\C_cal_100ppm_acid_laurel.2019_08_05_11_33_40.cal"</f>
        <v>C:\TOC3201\CalCurves\Itamar\C_cal_100ppm_acid_laurel.2019_08_05_11_33_40.cal</v>
      </c>
      <c r="F22" t="str">
        <f>""</f>
        <v/>
      </c>
      <c r="G22">
        <v>1</v>
      </c>
      <c r="H22" t="str">
        <f>""</f>
        <v/>
      </c>
      <c r="I22" t="str">
        <f>"8/5/2019 12:13:48 PM"</f>
        <v>8/5/2019 12:13:48 PM</v>
      </c>
      <c r="J22" t="str">
        <f>"2"</f>
        <v>2</v>
      </c>
      <c r="K22" t="str">
        <f>"3"</f>
        <v>3</v>
      </c>
      <c r="L22" t="str">
        <f>"NPOC"</f>
        <v>NPOC</v>
      </c>
      <c r="M22" t="str">
        <f>"26.09"</f>
        <v>26.09</v>
      </c>
      <c r="N22" t="str">
        <f>"5.000"</f>
        <v>5.000</v>
      </c>
      <c r="O22" t="str">
        <f>" "</f>
        <v xml:space="preserve"> </v>
      </c>
      <c r="P22">
        <v>1</v>
      </c>
      <c r="Q22" t="str">
        <f>"80"</f>
        <v>80</v>
      </c>
    </row>
    <row r="23" spans="1:17" x14ac:dyDescent="0.2">
      <c r="A23" t="str">
        <f>"Standard"</f>
        <v>Standard</v>
      </c>
      <c r="B23" t="str">
        <f>"NPOC"</f>
        <v>NPOC</v>
      </c>
      <c r="C23" t="str">
        <f>"C_cal_100ppm"</f>
        <v>C_cal_100ppm</v>
      </c>
      <c r="D23" t="str">
        <f>"C_cal_100ppm"</f>
        <v>C_cal_100ppm</v>
      </c>
      <c r="E23" t="str">
        <f>"C:\TOC3201\CalCurves\Itamar\C_cal_100ppm_acid_laurel.2019_08_05_11_33_40.cal"</f>
        <v>C:\TOC3201\CalCurves\Itamar\C_cal_100ppm_acid_laurel.2019_08_05_11_33_40.cal</v>
      </c>
      <c r="F23" t="str">
        <f>""</f>
        <v/>
      </c>
      <c r="G23">
        <v>1</v>
      </c>
      <c r="H23" t="str">
        <f>""</f>
        <v/>
      </c>
      <c r="I23" t="str">
        <f>"8/5/2019 12:16:56 PM"</f>
        <v>8/5/2019 12:16:56 PM</v>
      </c>
      <c r="J23" t="str">
        <f>"2"</f>
        <v>2</v>
      </c>
      <c r="K23" t="str">
        <f>"4"</f>
        <v>4</v>
      </c>
      <c r="L23" t="str">
        <f>"NPOC"</f>
        <v>NPOC</v>
      </c>
      <c r="M23" t="str">
        <f>"25.31"</f>
        <v>25.31</v>
      </c>
      <c r="N23" t="str">
        <f>"5.000"</f>
        <v>5.000</v>
      </c>
      <c r="O23" t="str">
        <f>" "</f>
        <v xml:space="preserve"> </v>
      </c>
      <c r="P23">
        <v>1</v>
      </c>
      <c r="Q23" t="str">
        <f>"80"</f>
        <v>80</v>
      </c>
    </row>
    <row r="24" spans="1:17" x14ac:dyDescent="0.2">
      <c r="A24" t="str">
        <f>"Standard"</f>
        <v>Standard</v>
      </c>
      <c r="B24" t="str">
        <f>"NPOC"</f>
        <v>NPOC</v>
      </c>
      <c r="C24" t="str">
        <f>"C_cal_100ppm"</f>
        <v>C_cal_100ppm</v>
      </c>
      <c r="D24" t="str">
        <f>"C_cal_100ppm"</f>
        <v>C_cal_100ppm</v>
      </c>
      <c r="E24" t="str">
        <f>"C:\TOC3201\CalCurves\Itamar\C_cal_100ppm_acid_laurel.2019_08_05_11_33_40.cal"</f>
        <v>C:\TOC3201\CalCurves\Itamar\C_cal_100ppm_acid_laurel.2019_08_05_11_33_40.cal</v>
      </c>
      <c r="F24" t="str">
        <f>""</f>
        <v/>
      </c>
      <c r="G24">
        <v>1</v>
      </c>
      <c r="H24" t="str">
        <f>""</f>
        <v/>
      </c>
      <c r="I24" t="str">
        <f>"8/5/2019 12:20:03 PM"</f>
        <v>8/5/2019 12:20:03 PM</v>
      </c>
      <c r="J24" t="str">
        <f>"2"</f>
        <v>2</v>
      </c>
      <c r="K24" t="str">
        <f>"5"</f>
        <v>5</v>
      </c>
      <c r="L24" t="str">
        <f>"NPOC"</f>
        <v>NPOC</v>
      </c>
      <c r="M24" t="str">
        <f>"24.29"</f>
        <v>24.29</v>
      </c>
      <c r="N24" t="str">
        <f>"5.000"</f>
        <v>5.000</v>
      </c>
      <c r="O24" t="str">
        <f>" "</f>
        <v xml:space="preserve"> </v>
      </c>
      <c r="P24">
        <v>0</v>
      </c>
      <c r="Q24" t="str">
        <f>"80"</f>
        <v>80</v>
      </c>
    </row>
    <row r="25" spans="1:17" x14ac:dyDescent="0.2">
      <c r="A25" t="str">
        <f>"Standard"</f>
        <v>Standard</v>
      </c>
      <c r="B25" t="str">
        <f>"NPOC"</f>
        <v>NPOC</v>
      </c>
      <c r="C25" t="str">
        <f>"C_cal_100ppm"</f>
        <v>C_cal_100ppm</v>
      </c>
      <c r="D25" t="str">
        <f>"C_cal_100ppm"</f>
        <v>C_cal_100ppm</v>
      </c>
      <c r="E25" t="str">
        <f>"C:\TOC3201\CalCurves\Itamar\C_cal_100ppm_acid_laurel.2019_08_05_11_33_40.cal"</f>
        <v>C:\TOC3201\CalCurves\Itamar\C_cal_100ppm_acid_laurel.2019_08_05_11_33_40.cal</v>
      </c>
      <c r="F25" t="str">
        <f>""</f>
        <v/>
      </c>
      <c r="G25">
        <v>1</v>
      </c>
      <c r="H25" t="str">
        <f>""</f>
        <v/>
      </c>
      <c r="I25" t="str">
        <f>"8/5/2019 12:28:37 PM"</f>
        <v>8/5/2019 12:28:37 PM</v>
      </c>
      <c r="J25" t="str">
        <f>"3"</f>
        <v>3</v>
      </c>
      <c r="K25" t="str">
        <f>"1"</f>
        <v>1</v>
      </c>
      <c r="L25" t="str">
        <f>"NPOC"</f>
        <v>NPOC</v>
      </c>
      <c r="M25" t="str">
        <f>"48.10"</f>
        <v>48.10</v>
      </c>
      <c r="N25" t="str">
        <f>"10.00"</f>
        <v>10.00</v>
      </c>
      <c r="O25" t="str">
        <f>" "</f>
        <v xml:space="preserve"> </v>
      </c>
      <c r="P25">
        <v>0</v>
      </c>
      <c r="Q25" t="str">
        <f>"80"</f>
        <v>80</v>
      </c>
    </row>
    <row r="26" spans="1:17" x14ac:dyDescent="0.2">
      <c r="A26" t="str">
        <f>"Standard"</f>
        <v>Standard</v>
      </c>
      <c r="B26" t="str">
        <f>"NPOC"</f>
        <v>NPOC</v>
      </c>
      <c r="C26" t="str">
        <f>"C_cal_100ppm"</f>
        <v>C_cal_100ppm</v>
      </c>
      <c r="D26" t="str">
        <f>"C_cal_100ppm"</f>
        <v>C_cal_100ppm</v>
      </c>
      <c r="E26" t="str">
        <f>"C:\TOC3201\CalCurves\Itamar\C_cal_100ppm_acid_laurel.2019_08_05_11_33_40.cal"</f>
        <v>C:\TOC3201\CalCurves\Itamar\C_cal_100ppm_acid_laurel.2019_08_05_11_33_40.cal</v>
      </c>
      <c r="F26" t="str">
        <f>""</f>
        <v/>
      </c>
      <c r="G26">
        <v>1</v>
      </c>
      <c r="H26" t="str">
        <f>""</f>
        <v/>
      </c>
      <c r="I26" t="str">
        <f>"8/5/2019 12:31:47 PM"</f>
        <v>8/5/2019 12:31:47 PM</v>
      </c>
      <c r="J26" t="str">
        <f>"3"</f>
        <v>3</v>
      </c>
      <c r="K26" t="str">
        <f>"2"</f>
        <v>2</v>
      </c>
      <c r="L26" t="str">
        <f>"NPOC"</f>
        <v>NPOC</v>
      </c>
      <c r="M26" t="str">
        <f>"47.87"</f>
        <v>47.87</v>
      </c>
      <c r="N26" t="str">
        <f>"10.00"</f>
        <v>10.00</v>
      </c>
      <c r="O26" t="str">
        <f>" "</f>
        <v xml:space="preserve"> </v>
      </c>
      <c r="P26">
        <v>0</v>
      </c>
      <c r="Q26" t="str">
        <f>"80"</f>
        <v>80</v>
      </c>
    </row>
    <row r="27" spans="1:17" x14ac:dyDescent="0.2">
      <c r="A27" t="str">
        <f>"Standard"</f>
        <v>Standard</v>
      </c>
      <c r="B27" t="str">
        <f>"NPOC"</f>
        <v>NPOC</v>
      </c>
      <c r="C27" t="str">
        <f>"C_cal_100ppm"</f>
        <v>C_cal_100ppm</v>
      </c>
      <c r="D27" t="str">
        <f>"C_cal_100ppm"</f>
        <v>C_cal_100ppm</v>
      </c>
      <c r="E27" t="str">
        <f>"C:\TOC3201\CalCurves\Itamar\C_cal_100ppm_acid_laurel.2019_08_05_11_33_40.cal"</f>
        <v>C:\TOC3201\CalCurves\Itamar\C_cal_100ppm_acid_laurel.2019_08_05_11_33_40.cal</v>
      </c>
      <c r="F27" t="str">
        <f>""</f>
        <v/>
      </c>
      <c r="G27">
        <v>1</v>
      </c>
      <c r="H27" t="str">
        <f>""</f>
        <v/>
      </c>
      <c r="I27" t="str">
        <f>"8/5/2019 12:35:02 PM"</f>
        <v>8/5/2019 12:35:02 PM</v>
      </c>
      <c r="J27" t="str">
        <f>"3"</f>
        <v>3</v>
      </c>
      <c r="K27" t="str">
        <f>"3"</f>
        <v>3</v>
      </c>
      <c r="L27" t="str">
        <f>"NPOC"</f>
        <v>NPOC</v>
      </c>
      <c r="M27" t="str">
        <f>"49.97"</f>
        <v>49.97</v>
      </c>
      <c r="N27" t="str">
        <f>"10.00"</f>
        <v>10.00</v>
      </c>
      <c r="O27" t="str">
        <f>" "</f>
        <v xml:space="preserve"> </v>
      </c>
      <c r="P27">
        <v>1</v>
      </c>
      <c r="Q27" t="str">
        <f>"80"</f>
        <v>80</v>
      </c>
    </row>
    <row r="28" spans="1:17" x14ac:dyDescent="0.2">
      <c r="A28" t="str">
        <f>"Standard"</f>
        <v>Standard</v>
      </c>
      <c r="B28" t="str">
        <f>"NPOC"</f>
        <v>NPOC</v>
      </c>
      <c r="C28" t="str">
        <f>"C_cal_100ppm"</f>
        <v>C_cal_100ppm</v>
      </c>
      <c r="D28" t="str">
        <f>"C_cal_100ppm"</f>
        <v>C_cal_100ppm</v>
      </c>
      <c r="E28" t="str">
        <f>"C:\TOC3201\CalCurves\Itamar\C_cal_100ppm_acid_laurel.2019_08_05_11_33_40.cal"</f>
        <v>C:\TOC3201\CalCurves\Itamar\C_cal_100ppm_acid_laurel.2019_08_05_11_33_40.cal</v>
      </c>
      <c r="F28" t="str">
        <f>""</f>
        <v/>
      </c>
      <c r="G28">
        <v>1</v>
      </c>
      <c r="H28" t="str">
        <f>""</f>
        <v/>
      </c>
      <c r="I28" t="str">
        <f>"8/5/2019 12:38:20 PM"</f>
        <v>8/5/2019 12:38:20 PM</v>
      </c>
      <c r="J28" t="str">
        <f>"3"</f>
        <v>3</v>
      </c>
      <c r="K28" t="str">
        <f>"4"</f>
        <v>4</v>
      </c>
      <c r="L28" t="str">
        <f>"NPOC"</f>
        <v>NPOC</v>
      </c>
      <c r="M28" t="str">
        <f>"49.61"</f>
        <v>49.61</v>
      </c>
      <c r="N28" t="str">
        <f>"10.00"</f>
        <v>10.00</v>
      </c>
      <c r="O28" t="str">
        <f>" "</f>
        <v xml:space="preserve"> </v>
      </c>
      <c r="P28">
        <v>0</v>
      </c>
      <c r="Q28" t="str">
        <f>"80"</f>
        <v>80</v>
      </c>
    </row>
    <row r="29" spans="1:17" x14ac:dyDescent="0.2">
      <c r="A29" t="str">
        <f>"Standard"</f>
        <v>Standard</v>
      </c>
      <c r="B29" t="str">
        <f>"NPOC"</f>
        <v>NPOC</v>
      </c>
      <c r="C29" t="str">
        <f>"C_cal_100ppm"</f>
        <v>C_cal_100ppm</v>
      </c>
      <c r="D29" t="str">
        <f>"C_cal_100ppm"</f>
        <v>C_cal_100ppm</v>
      </c>
      <c r="E29" t="str">
        <f>"C:\TOC3201\CalCurves\Itamar\C_cal_100ppm_acid_laurel.2019_08_05_11_33_40.cal"</f>
        <v>C:\TOC3201\CalCurves\Itamar\C_cal_100ppm_acid_laurel.2019_08_05_11_33_40.cal</v>
      </c>
      <c r="F29" t="str">
        <f>""</f>
        <v/>
      </c>
      <c r="G29">
        <v>1</v>
      </c>
      <c r="H29" t="str">
        <f>""</f>
        <v/>
      </c>
      <c r="I29" t="str">
        <f>"8/5/2019 12:47:06 PM"</f>
        <v>8/5/2019 12:47:06 PM</v>
      </c>
      <c r="J29" t="str">
        <f>"4"</f>
        <v>4</v>
      </c>
      <c r="K29" t="str">
        <f>"1"</f>
        <v>1</v>
      </c>
      <c r="L29" t="str">
        <f>"NPOC"</f>
        <v>NPOC</v>
      </c>
      <c r="M29" t="str">
        <f>"97.54"</f>
        <v>97.54</v>
      </c>
      <c r="N29" t="str">
        <f>"20.00"</f>
        <v>20.00</v>
      </c>
      <c r="O29" t="str">
        <f>" "</f>
        <v xml:space="preserve"> </v>
      </c>
      <c r="P29">
        <v>0</v>
      </c>
      <c r="Q29" t="str">
        <f>"80"</f>
        <v>80</v>
      </c>
    </row>
    <row r="30" spans="1:17" x14ac:dyDescent="0.2">
      <c r="A30" t="str">
        <f>"Standard"</f>
        <v>Standard</v>
      </c>
      <c r="B30" t="str">
        <f>"NPOC"</f>
        <v>NPOC</v>
      </c>
      <c r="C30" t="str">
        <f>"C_cal_100ppm"</f>
        <v>C_cal_100ppm</v>
      </c>
      <c r="D30" t="str">
        <f>"C_cal_100ppm"</f>
        <v>C_cal_100ppm</v>
      </c>
      <c r="E30" t="str">
        <f>"C:\TOC3201\CalCurves\Itamar\C_cal_100ppm_acid_laurel.2019_08_05_11_33_40.cal"</f>
        <v>C:\TOC3201\CalCurves\Itamar\C_cal_100ppm_acid_laurel.2019_08_05_11_33_40.cal</v>
      </c>
      <c r="F30" t="str">
        <f>""</f>
        <v/>
      </c>
      <c r="G30">
        <v>1</v>
      </c>
      <c r="H30" t="str">
        <f>""</f>
        <v/>
      </c>
      <c r="I30" t="str">
        <f>"8/5/2019 12:50:35 PM"</f>
        <v>8/5/2019 12:50:35 PM</v>
      </c>
      <c r="J30" t="str">
        <f>"4"</f>
        <v>4</v>
      </c>
      <c r="K30" t="str">
        <f>"2"</f>
        <v>2</v>
      </c>
      <c r="L30" t="str">
        <f>"NPOC"</f>
        <v>NPOC</v>
      </c>
      <c r="M30" t="str">
        <f>"94.90"</f>
        <v>94.90</v>
      </c>
      <c r="N30" t="str">
        <f>"20.00"</f>
        <v>20.00</v>
      </c>
      <c r="O30" t="str">
        <f>" "</f>
        <v xml:space="preserve"> </v>
      </c>
      <c r="P30">
        <v>1</v>
      </c>
      <c r="Q30" t="str">
        <f>"80"</f>
        <v>80</v>
      </c>
    </row>
    <row r="31" spans="1:17" x14ac:dyDescent="0.2">
      <c r="A31" t="str">
        <f>"Standard"</f>
        <v>Standard</v>
      </c>
      <c r="B31" t="str">
        <f>"NPOC"</f>
        <v>NPOC</v>
      </c>
      <c r="C31" t="str">
        <f>"C_cal_100ppm"</f>
        <v>C_cal_100ppm</v>
      </c>
      <c r="D31" t="str">
        <f>"C_cal_100ppm"</f>
        <v>C_cal_100ppm</v>
      </c>
      <c r="E31" t="str">
        <f>"C:\TOC3201\CalCurves\Itamar\C_cal_100ppm_acid_laurel.2019_08_05_11_33_40.cal"</f>
        <v>C:\TOC3201\CalCurves\Itamar\C_cal_100ppm_acid_laurel.2019_08_05_11_33_40.cal</v>
      </c>
      <c r="F31" t="str">
        <f>""</f>
        <v/>
      </c>
      <c r="G31">
        <v>1</v>
      </c>
      <c r="H31" t="str">
        <f>""</f>
        <v/>
      </c>
      <c r="I31" t="str">
        <f>"8/5/2019 12:54:11 PM"</f>
        <v>8/5/2019 12:54:11 PM</v>
      </c>
      <c r="J31" t="str">
        <f>"4"</f>
        <v>4</v>
      </c>
      <c r="K31" t="str">
        <f>"3"</f>
        <v>3</v>
      </c>
      <c r="L31" t="str">
        <f>"NPOC"</f>
        <v>NPOC</v>
      </c>
      <c r="M31" t="str">
        <f>"98.93"</f>
        <v>98.93</v>
      </c>
      <c r="N31" t="str">
        <f>"20.00"</f>
        <v>20.00</v>
      </c>
      <c r="O31" t="str">
        <f>" "</f>
        <v xml:space="preserve"> </v>
      </c>
      <c r="P31">
        <v>0</v>
      </c>
      <c r="Q31" t="str">
        <f>"80"</f>
        <v>80</v>
      </c>
    </row>
    <row r="32" spans="1:17" x14ac:dyDescent="0.2">
      <c r="A32" t="str">
        <f>"Standard"</f>
        <v>Standard</v>
      </c>
      <c r="B32" t="str">
        <f>"NPOC"</f>
        <v>NPOC</v>
      </c>
      <c r="C32" t="str">
        <f>"C_cal_100ppm"</f>
        <v>C_cal_100ppm</v>
      </c>
      <c r="D32" t="str">
        <f>"C_cal_100ppm"</f>
        <v>C_cal_100ppm</v>
      </c>
      <c r="E32" t="str">
        <f>"C:\TOC3201\CalCurves\Itamar\C_cal_100ppm_acid_laurel.2019_08_05_11_33_40.cal"</f>
        <v>C:\TOC3201\CalCurves\Itamar\C_cal_100ppm_acid_laurel.2019_08_05_11_33_40.cal</v>
      </c>
      <c r="F32" t="str">
        <f>""</f>
        <v/>
      </c>
      <c r="G32">
        <v>1</v>
      </c>
      <c r="H32" t="str">
        <f>""</f>
        <v/>
      </c>
      <c r="I32" t="str">
        <f>"8/5/2019 12:57:37 PM"</f>
        <v>8/5/2019 12:57:37 PM</v>
      </c>
      <c r="J32" t="str">
        <f>"4"</f>
        <v>4</v>
      </c>
      <c r="K32" t="str">
        <f>"4"</f>
        <v>4</v>
      </c>
      <c r="L32" t="str">
        <f>"NPOC"</f>
        <v>NPOC</v>
      </c>
      <c r="M32" t="str">
        <f>"98.82"</f>
        <v>98.82</v>
      </c>
      <c r="N32" t="str">
        <f>"20.00"</f>
        <v>20.00</v>
      </c>
      <c r="O32" t="str">
        <f>" "</f>
        <v xml:space="preserve"> </v>
      </c>
      <c r="P32">
        <v>0</v>
      </c>
      <c r="Q32" t="str">
        <f>"80"</f>
        <v>80</v>
      </c>
    </row>
    <row r="33" spans="1:17" x14ac:dyDescent="0.2">
      <c r="A33" t="str">
        <f>"Standard"</f>
        <v>Standard</v>
      </c>
      <c r="B33" t="str">
        <f>"NPOC"</f>
        <v>NPOC</v>
      </c>
      <c r="C33" t="str">
        <f>"C_cal_100ppm"</f>
        <v>C_cal_100ppm</v>
      </c>
      <c r="D33" t="str">
        <f>"C_cal_100ppm"</f>
        <v>C_cal_100ppm</v>
      </c>
      <c r="E33" t="str">
        <f>"C:\TOC3201\CalCurves\Itamar\C_cal_100ppm_acid_laurel.2019_08_05_11_33_40.cal"</f>
        <v>C:\TOC3201\CalCurves\Itamar\C_cal_100ppm_acid_laurel.2019_08_05_11_33_40.cal</v>
      </c>
      <c r="F33" t="str">
        <f>""</f>
        <v/>
      </c>
      <c r="G33">
        <v>1</v>
      </c>
      <c r="H33" t="str">
        <f>""</f>
        <v/>
      </c>
      <c r="I33" t="str">
        <f>"8/5/2019 1:06:23 PM"</f>
        <v>8/5/2019 1:06:23 PM</v>
      </c>
      <c r="J33" t="str">
        <f>"5"</f>
        <v>5</v>
      </c>
      <c r="K33" t="str">
        <f>"1"</f>
        <v>1</v>
      </c>
      <c r="L33" t="str">
        <f>"NPOC"</f>
        <v>NPOC</v>
      </c>
      <c r="M33" t="str">
        <f>"246.9"</f>
        <v>246.9</v>
      </c>
      <c r="N33" t="str">
        <f>"50.00"</f>
        <v>50.00</v>
      </c>
      <c r="O33" t="str">
        <f>" "</f>
        <v xml:space="preserve"> </v>
      </c>
      <c r="P33">
        <v>0</v>
      </c>
      <c r="Q33" t="str">
        <f>"80"</f>
        <v>80</v>
      </c>
    </row>
    <row r="34" spans="1:17" x14ac:dyDescent="0.2">
      <c r="A34" t="str">
        <f>"Standard"</f>
        <v>Standard</v>
      </c>
      <c r="B34" t="str">
        <f>"NPOC"</f>
        <v>NPOC</v>
      </c>
      <c r="C34" t="str">
        <f>"C_cal_100ppm"</f>
        <v>C_cal_100ppm</v>
      </c>
      <c r="D34" t="str">
        <f>"C_cal_100ppm"</f>
        <v>C_cal_100ppm</v>
      </c>
      <c r="E34" t="str">
        <f>"C:\TOC3201\CalCurves\Itamar\C_cal_100ppm_acid_laurel.2019_08_05_11_33_40.cal"</f>
        <v>C:\TOC3201\CalCurves\Itamar\C_cal_100ppm_acid_laurel.2019_08_05_11_33_40.cal</v>
      </c>
      <c r="F34" t="str">
        <f>""</f>
        <v/>
      </c>
      <c r="G34">
        <v>1</v>
      </c>
      <c r="H34" t="str">
        <f>""</f>
        <v/>
      </c>
      <c r="I34" t="str">
        <f>"8/5/2019 1:09:43 PM"</f>
        <v>8/5/2019 1:09:43 PM</v>
      </c>
      <c r="J34" t="str">
        <f>"5"</f>
        <v>5</v>
      </c>
      <c r="K34" t="str">
        <f>"2"</f>
        <v>2</v>
      </c>
      <c r="L34" t="str">
        <f>"NPOC"</f>
        <v>NPOC</v>
      </c>
      <c r="M34" t="str">
        <f>"240.9"</f>
        <v>240.9</v>
      </c>
      <c r="N34" t="str">
        <f>"50.00"</f>
        <v>50.00</v>
      </c>
      <c r="O34" t="str">
        <f>" "</f>
        <v xml:space="preserve"> </v>
      </c>
      <c r="P34">
        <v>1</v>
      </c>
      <c r="Q34" t="str">
        <f>"80"</f>
        <v>80</v>
      </c>
    </row>
    <row r="35" spans="1:17" x14ac:dyDescent="0.2">
      <c r="A35" t="str">
        <f>"Standard"</f>
        <v>Standard</v>
      </c>
      <c r="B35" t="str">
        <f>"NPOC"</f>
        <v>NPOC</v>
      </c>
      <c r="C35" t="str">
        <f>"C_cal_100ppm"</f>
        <v>C_cal_100ppm</v>
      </c>
      <c r="D35" t="str">
        <f>"C_cal_100ppm"</f>
        <v>C_cal_100ppm</v>
      </c>
      <c r="E35" t="str">
        <f>"C:\TOC3201\CalCurves\Itamar\C_cal_100ppm_acid_laurel.2019_08_05_11_33_40.cal"</f>
        <v>C:\TOC3201\CalCurves\Itamar\C_cal_100ppm_acid_laurel.2019_08_05_11_33_40.cal</v>
      </c>
      <c r="F35" t="str">
        <f>""</f>
        <v/>
      </c>
      <c r="G35">
        <v>1</v>
      </c>
      <c r="H35" t="str">
        <f>""</f>
        <v/>
      </c>
      <c r="I35" t="str">
        <f>"8/5/2019 1:13:27 PM"</f>
        <v>8/5/2019 1:13:27 PM</v>
      </c>
      <c r="J35" t="str">
        <f>"5"</f>
        <v>5</v>
      </c>
      <c r="K35" t="str">
        <f>"3"</f>
        <v>3</v>
      </c>
      <c r="L35" t="str">
        <f>"NPOC"</f>
        <v>NPOC</v>
      </c>
      <c r="M35" t="str">
        <f>"251.1"</f>
        <v>251.1</v>
      </c>
      <c r="N35" t="str">
        <f>"50.00"</f>
        <v>50.00</v>
      </c>
      <c r="O35" t="str">
        <f>" "</f>
        <v xml:space="preserve"> </v>
      </c>
      <c r="P35">
        <v>0</v>
      </c>
      <c r="Q35" t="str">
        <f>"80"</f>
        <v>80</v>
      </c>
    </row>
    <row r="36" spans="1:17" x14ac:dyDescent="0.2">
      <c r="A36" t="str">
        <f>"Standard"</f>
        <v>Standard</v>
      </c>
      <c r="B36" t="str">
        <f>"NPOC"</f>
        <v>NPOC</v>
      </c>
      <c r="C36" t="str">
        <f>"C_cal_100ppm"</f>
        <v>C_cal_100ppm</v>
      </c>
      <c r="D36" t="str">
        <f>"C_cal_100ppm"</f>
        <v>C_cal_100ppm</v>
      </c>
      <c r="E36" t="str">
        <f>"C:\TOC3201\CalCurves\Itamar\C_cal_100ppm_acid_laurel.2019_08_05_11_33_40.cal"</f>
        <v>C:\TOC3201\CalCurves\Itamar\C_cal_100ppm_acid_laurel.2019_08_05_11_33_40.cal</v>
      </c>
      <c r="F36" t="str">
        <f>""</f>
        <v/>
      </c>
      <c r="G36">
        <v>1</v>
      </c>
      <c r="H36" t="str">
        <f>""</f>
        <v/>
      </c>
      <c r="I36" t="str">
        <f>"8/5/2019 1:16:49 PM"</f>
        <v>8/5/2019 1:16:49 PM</v>
      </c>
      <c r="J36" t="str">
        <f>"5"</f>
        <v>5</v>
      </c>
      <c r="K36" t="str">
        <f>"4"</f>
        <v>4</v>
      </c>
      <c r="L36" t="str">
        <f>"NPOC"</f>
        <v>NPOC</v>
      </c>
      <c r="M36" t="str">
        <f>"252.0"</f>
        <v>252.0</v>
      </c>
      <c r="N36" t="str">
        <f>"50.00"</f>
        <v>50.00</v>
      </c>
      <c r="O36" t="str">
        <f>" "</f>
        <v xml:space="preserve"> </v>
      </c>
      <c r="P36">
        <v>0</v>
      </c>
      <c r="Q36" t="str">
        <f>"80"</f>
        <v>80</v>
      </c>
    </row>
    <row r="37" spans="1:17" x14ac:dyDescent="0.2">
      <c r="A37" t="str">
        <f>"Standard"</f>
        <v>Standard</v>
      </c>
      <c r="B37" t="str">
        <f>"NPOC"</f>
        <v>NPOC</v>
      </c>
      <c r="C37" t="str">
        <f>"C_cal_100ppm"</f>
        <v>C_cal_100ppm</v>
      </c>
      <c r="D37" t="str">
        <f>"C_cal_100ppm"</f>
        <v>C_cal_100ppm</v>
      </c>
      <c r="E37" t="str">
        <f>"C:\TOC3201\CalCurves\Itamar\C_cal_100ppm_acid_laurel.2019_08_05_11_33_40.cal"</f>
        <v>C:\TOC3201\CalCurves\Itamar\C_cal_100ppm_acid_laurel.2019_08_05_11_33_40.cal</v>
      </c>
      <c r="F37" t="str">
        <f>""</f>
        <v/>
      </c>
      <c r="G37">
        <v>1</v>
      </c>
      <c r="H37" t="str">
        <f>""</f>
        <v/>
      </c>
      <c r="I37" t="str">
        <f>"8/5/2019 1:25:02 PM"</f>
        <v>8/5/2019 1:25:02 PM</v>
      </c>
      <c r="J37" t="str">
        <f>"6"</f>
        <v>6</v>
      </c>
      <c r="K37" t="str">
        <f>"1"</f>
        <v>1</v>
      </c>
      <c r="L37" t="str">
        <f>"NPOC"</f>
        <v>NPOC</v>
      </c>
      <c r="M37" t="str">
        <f>"501.0"</f>
        <v>501.0</v>
      </c>
      <c r="N37" t="str">
        <f>"100.0"</f>
        <v>100.0</v>
      </c>
      <c r="O37" t="str">
        <f>" "</f>
        <v xml:space="preserve"> </v>
      </c>
      <c r="P37">
        <v>0</v>
      </c>
      <c r="Q37" t="str">
        <f>"80"</f>
        <v>80</v>
      </c>
    </row>
    <row r="38" spans="1:17" x14ac:dyDescent="0.2">
      <c r="A38" t="str">
        <f>"Standard"</f>
        <v>Standard</v>
      </c>
      <c r="B38" t="str">
        <f>"NPOC"</f>
        <v>NPOC</v>
      </c>
      <c r="C38" t="str">
        <f>"C_cal_100ppm"</f>
        <v>C_cal_100ppm</v>
      </c>
      <c r="D38" t="str">
        <f>"C_cal_100ppm"</f>
        <v>C_cal_100ppm</v>
      </c>
      <c r="E38" t="str">
        <f>"C:\TOC3201\CalCurves\Itamar\C_cal_100ppm_acid_laurel.2019_08_05_11_33_40.cal"</f>
        <v>C:\TOC3201\CalCurves\Itamar\C_cal_100ppm_acid_laurel.2019_08_05_11_33_40.cal</v>
      </c>
      <c r="F38" t="str">
        <f>""</f>
        <v/>
      </c>
      <c r="G38">
        <v>1</v>
      </c>
      <c r="H38" t="str">
        <f>""</f>
        <v/>
      </c>
      <c r="I38" t="str">
        <f>"8/5/2019 1:28:24 PM"</f>
        <v>8/5/2019 1:28:24 PM</v>
      </c>
      <c r="J38" t="str">
        <f>"6"</f>
        <v>6</v>
      </c>
      <c r="K38" t="str">
        <f>"2"</f>
        <v>2</v>
      </c>
      <c r="L38" t="str">
        <f>"NPOC"</f>
        <v>NPOC</v>
      </c>
      <c r="M38" t="str">
        <f>"487.7"</f>
        <v>487.7</v>
      </c>
      <c r="N38" t="str">
        <f>"100.0"</f>
        <v>100.0</v>
      </c>
      <c r="O38" t="str">
        <f>" "</f>
        <v xml:space="preserve"> </v>
      </c>
      <c r="P38">
        <v>1</v>
      </c>
      <c r="Q38" t="str">
        <f>"80"</f>
        <v>80</v>
      </c>
    </row>
    <row r="39" spans="1:17" x14ac:dyDescent="0.2">
      <c r="A39" t="str">
        <f>"Standard"</f>
        <v>Standard</v>
      </c>
      <c r="B39" t="str">
        <f>"NPOC"</f>
        <v>NPOC</v>
      </c>
      <c r="C39" t="str">
        <f>"C_cal_100ppm"</f>
        <v>C_cal_100ppm</v>
      </c>
      <c r="D39" t="str">
        <f>"C_cal_100ppm"</f>
        <v>C_cal_100ppm</v>
      </c>
      <c r="E39" t="str">
        <f>"C:\TOC3201\CalCurves\Itamar\C_cal_100ppm_acid_laurel.2019_08_05_11_33_40.cal"</f>
        <v>C:\TOC3201\CalCurves\Itamar\C_cal_100ppm_acid_laurel.2019_08_05_11_33_40.cal</v>
      </c>
      <c r="F39" t="str">
        <f>""</f>
        <v/>
      </c>
      <c r="G39">
        <v>1</v>
      </c>
      <c r="H39" t="str">
        <f>""</f>
        <v/>
      </c>
      <c r="I39" t="str">
        <f>"8/5/2019 1:31:54 PM"</f>
        <v>8/5/2019 1:31:54 PM</v>
      </c>
      <c r="J39" t="str">
        <f>"6"</f>
        <v>6</v>
      </c>
      <c r="K39" t="str">
        <f>"3"</f>
        <v>3</v>
      </c>
      <c r="L39" t="str">
        <f>"NPOC"</f>
        <v>NPOC</v>
      </c>
      <c r="M39" t="str">
        <f>"514.8"</f>
        <v>514.8</v>
      </c>
      <c r="N39" t="str">
        <f>"100.0"</f>
        <v>100.0</v>
      </c>
      <c r="O39" t="str">
        <f>" "</f>
        <v xml:space="preserve"> </v>
      </c>
      <c r="P39">
        <v>0</v>
      </c>
      <c r="Q39" t="str">
        <f>"80"</f>
        <v>80</v>
      </c>
    </row>
    <row r="40" spans="1:17" x14ac:dyDescent="0.2">
      <c r="A40" t="str">
        <f>"Standard"</f>
        <v>Standard</v>
      </c>
      <c r="B40" t="str">
        <f>"NPOC"</f>
        <v>NPOC</v>
      </c>
      <c r="C40" t="str">
        <f>"C_cal_100ppm"</f>
        <v>C_cal_100ppm</v>
      </c>
      <c r="D40" t="str">
        <f>"C_cal_100ppm"</f>
        <v>C_cal_100ppm</v>
      </c>
      <c r="E40" t="str">
        <f>"C:\TOC3201\CalCurves\Itamar\C_cal_100ppm_acid_laurel.2019_08_05_11_33_40.cal"</f>
        <v>C:\TOC3201\CalCurves\Itamar\C_cal_100ppm_acid_laurel.2019_08_05_11_33_40.cal</v>
      </c>
      <c r="F40" t="str">
        <f>""</f>
        <v/>
      </c>
      <c r="G40">
        <v>1</v>
      </c>
      <c r="H40" t="str">
        <f>""</f>
        <v/>
      </c>
      <c r="I40" t="str">
        <f>"8/5/2019 1:35:26 PM"</f>
        <v>8/5/2019 1:35:26 PM</v>
      </c>
      <c r="J40" t="str">
        <f>"6"</f>
        <v>6</v>
      </c>
      <c r="K40" t="str">
        <f>"4"</f>
        <v>4</v>
      </c>
      <c r="L40" t="str">
        <f>"NPOC"</f>
        <v>NPOC</v>
      </c>
      <c r="M40" t="str">
        <f>"508.5"</f>
        <v>508.5</v>
      </c>
      <c r="N40" t="str">
        <f>"100.0"</f>
        <v>100.0</v>
      </c>
      <c r="O40" t="str">
        <f>" "</f>
        <v xml:space="preserve"> </v>
      </c>
      <c r="P40">
        <v>0</v>
      </c>
      <c r="Q40" t="str">
        <f>"80"</f>
        <v>80</v>
      </c>
    </row>
    <row r="41" spans="1:17" x14ac:dyDescent="0.2">
      <c r="A41" t="str">
        <f>"Standard"</f>
        <v>Standard</v>
      </c>
      <c r="B41" t="str">
        <f>"TN"</f>
        <v>TN</v>
      </c>
      <c r="C41" t="str">
        <f>"N_cal_25ppm_acid_laurel"</f>
        <v>N_cal_25ppm_acid_laurel</v>
      </c>
      <c r="D41" t="str">
        <f>"N_cal_25ppm_acid_laurel"</f>
        <v>N_cal_25ppm_acid_laurel</v>
      </c>
      <c r="E41" t="str">
        <f>"C:\TOC3201\CalCurves\Itamar\N_cal_25ppm_acid_laurel.2019_08_05_13_35_26.cal"</f>
        <v>C:\TOC3201\CalCurves\Itamar\N_cal_25ppm_acid_laurel.2019_08_05_13_35_26.cal</v>
      </c>
      <c r="F41" t="str">
        <f>""</f>
        <v/>
      </c>
      <c r="G41">
        <v>1</v>
      </c>
      <c r="H41" t="str">
        <f>""</f>
        <v/>
      </c>
      <c r="I41" t="str">
        <f>"8/5/2019 1:44:19 PM"</f>
        <v>8/5/2019 1:44:19 PM</v>
      </c>
      <c r="J41" t="str">
        <f>"1"</f>
        <v>1</v>
      </c>
      <c r="K41" t="str">
        <f>"1"</f>
        <v>1</v>
      </c>
      <c r="L41" t="str">
        <f>"TN"</f>
        <v>TN</v>
      </c>
      <c r="M41" t="str">
        <f>"2.283"</f>
        <v>2.283</v>
      </c>
      <c r="N41" t="str">
        <f>"0.5000"</f>
        <v>0.5000</v>
      </c>
      <c r="O41" t="str">
        <f>" "</f>
        <v xml:space="preserve"> </v>
      </c>
      <c r="P41">
        <v>0</v>
      </c>
      <c r="Q41" t="str">
        <f>"100"</f>
        <v>100</v>
      </c>
    </row>
    <row r="42" spans="1:17" x14ac:dyDescent="0.2">
      <c r="A42" t="str">
        <f>"Standard"</f>
        <v>Standard</v>
      </c>
      <c r="B42" t="str">
        <f>"TN"</f>
        <v>TN</v>
      </c>
      <c r="C42" t="str">
        <f>"N_cal_25ppm_acid_laurel"</f>
        <v>N_cal_25ppm_acid_laurel</v>
      </c>
      <c r="D42" t="str">
        <f>"N_cal_25ppm_acid_laurel"</f>
        <v>N_cal_25ppm_acid_laurel</v>
      </c>
      <c r="E42" t="str">
        <f>"C:\TOC3201\CalCurves\Itamar\N_cal_25ppm_acid_laurel.2019_08_05_13_35_26.cal"</f>
        <v>C:\TOC3201\CalCurves\Itamar\N_cal_25ppm_acid_laurel.2019_08_05_13_35_26.cal</v>
      </c>
      <c r="F42" t="str">
        <f>""</f>
        <v/>
      </c>
      <c r="G42">
        <v>1</v>
      </c>
      <c r="H42" t="str">
        <f>""</f>
        <v/>
      </c>
      <c r="I42" t="str">
        <f>"8/5/2019 1:47:32 PM"</f>
        <v>8/5/2019 1:47:32 PM</v>
      </c>
      <c r="J42" t="str">
        <f>"1"</f>
        <v>1</v>
      </c>
      <c r="K42" t="str">
        <f>"2"</f>
        <v>2</v>
      </c>
      <c r="L42" t="str">
        <f>"TN"</f>
        <v>TN</v>
      </c>
      <c r="M42" t="str">
        <f>"3.730"</f>
        <v>3.730</v>
      </c>
      <c r="N42" t="str">
        <f>"0.5000"</f>
        <v>0.5000</v>
      </c>
      <c r="O42" t="str">
        <f>" "</f>
        <v xml:space="preserve"> </v>
      </c>
      <c r="P42">
        <v>1</v>
      </c>
      <c r="Q42" t="str">
        <f>"100"</f>
        <v>100</v>
      </c>
    </row>
    <row r="43" spans="1:17" x14ac:dyDescent="0.2">
      <c r="A43" t="str">
        <f>"Standard"</f>
        <v>Standard</v>
      </c>
      <c r="B43" t="str">
        <f>"TN"</f>
        <v>TN</v>
      </c>
      <c r="C43" t="str">
        <f>"N_cal_25ppm_acid_laurel"</f>
        <v>N_cal_25ppm_acid_laurel</v>
      </c>
      <c r="D43" t="str">
        <f>"N_cal_25ppm_acid_laurel"</f>
        <v>N_cal_25ppm_acid_laurel</v>
      </c>
      <c r="E43" t="str">
        <f>"C:\TOC3201\CalCurves\Itamar\N_cal_25ppm_acid_laurel.2019_08_05_13_35_26.cal"</f>
        <v>C:\TOC3201\CalCurves\Itamar\N_cal_25ppm_acid_laurel.2019_08_05_13_35_26.cal</v>
      </c>
      <c r="F43" t="str">
        <f>""</f>
        <v/>
      </c>
      <c r="G43">
        <v>1</v>
      </c>
      <c r="H43" t="str">
        <f>""</f>
        <v/>
      </c>
      <c r="I43" t="str">
        <f>"8/5/2019 1:50:27 PM"</f>
        <v>8/5/2019 1:50:27 PM</v>
      </c>
      <c r="J43" t="str">
        <f>"1"</f>
        <v>1</v>
      </c>
      <c r="K43" t="str">
        <f>"3"</f>
        <v>3</v>
      </c>
      <c r="L43" t="str">
        <f>"TN"</f>
        <v>TN</v>
      </c>
      <c r="M43" t="str">
        <f>"2.354"</f>
        <v>2.354</v>
      </c>
      <c r="N43" t="str">
        <f>"0.5000"</f>
        <v>0.5000</v>
      </c>
      <c r="O43" t="str">
        <f>" "</f>
        <v xml:space="preserve"> </v>
      </c>
      <c r="P43">
        <v>0</v>
      </c>
      <c r="Q43" t="str">
        <f>"100"</f>
        <v>100</v>
      </c>
    </row>
    <row r="44" spans="1:17" x14ac:dyDescent="0.2">
      <c r="A44" t="str">
        <f>"Standard"</f>
        <v>Standard</v>
      </c>
      <c r="B44" t="str">
        <f>"TN"</f>
        <v>TN</v>
      </c>
      <c r="C44" t="str">
        <f>"N_cal_25ppm_acid_laurel"</f>
        <v>N_cal_25ppm_acid_laurel</v>
      </c>
      <c r="D44" t="str">
        <f>"N_cal_25ppm_acid_laurel"</f>
        <v>N_cal_25ppm_acid_laurel</v>
      </c>
      <c r="E44" t="str">
        <f>"C:\TOC3201\CalCurves\Itamar\N_cal_25ppm_acid_laurel.2019_08_05_13_35_26.cal"</f>
        <v>C:\TOC3201\CalCurves\Itamar\N_cal_25ppm_acid_laurel.2019_08_05_13_35_26.cal</v>
      </c>
      <c r="F44" t="str">
        <f>""</f>
        <v/>
      </c>
      <c r="G44">
        <v>1</v>
      </c>
      <c r="H44" t="str">
        <f>""</f>
        <v/>
      </c>
      <c r="I44" t="str">
        <f>"8/5/2019 1:53:14 PM"</f>
        <v>8/5/2019 1:53:14 PM</v>
      </c>
      <c r="J44" t="str">
        <f>"1"</f>
        <v>1</v>
      </c>
      <c r="K44" t="str">
        <f>"4"</f>
        <v>4</v>
      </c>
      <c r="L44" t="str">
        <f>"TN"</f>
        <v>TN</v>
      </c>
      <c r="M44" t="str">
        <f>"2.057"</f>
        <v>2.057</v>
      </c>
      <c r="N44" t="str">
        <f>"0.5000"</f>
        <v>0.5000</v>
      </c>
      <c r="O44" t="str">
        <f>" "</f>
        <v xml:space="preserve"> </v>
      </c>
      <c r="P44">
        <v>0</v>
      </c>
      <c r="Q44" t="str">
        <f>"100"</f>
        <v>100</v>
      </c>
    </row>
    <row r="45" spans="1:17" x14ac:dyDescent="0.2">
      <c r="A45" t="str">
        <f>"Standard"</f>
        <v>Standard</v>
      </c>
      <c r="B45" t="str">
        <f>"TN"</f>
        <v>TN</v>
      </c>
      <c r="C45" t="str">
        <f>"N_cal_25ppm_acid_laurel"</f>
        <v>N_cal_25ppm_acid_laurel</v>
      </c>
      <c r="D45" t="str">
        <f>"N_cal_25ppm_acid_laurel"</f>
        <v>N_cal_25ppm_acid_laurel</v>
      </c>
      <c r="E45" t="str">
        <f>"C:\TOC3201\CalCurves\Itamar\N_cal_25ppm_acid_laurel.2019_08_05_13_35_26.cal"</f>
        <v>C:\TOC3201\CalCurves\Itamar\N_cal_25ppm_acid_laurel.2019_08_05_13_35_26.cal</v>
      </c>
      <c r="F45" t="str">
        <f>""</f>
        <v/>
      </c>
      <c r="G45">
        <v>1</v>
      </c>
      <c r="H45" t="str">
        <f>""</f>
        <v/>
      </c>
      <c r="I45" t="str">
        <f>"8/5/2019 1:56:44 PM"</f>
        <v>8/5/2019 1:56:44 PM</v>
      </c>
      <c r="J45" t="str">
        <f>"1"</f>
        <v>1</v>
      </c>
      <c r="K45" t="str">
        <f>"5"</f>
        <v>5</v>
      </c>
      <c r="L45" t="str">
        <f>"TN"</f>
        <v>TN</v>
      </c>
      <c r="M45" t="str">
        <f>"2.669"</f>
        <v>2.669</v>
      </c>
      <c r="N45" t="str">
        <f>"0.5000"</f>
        <v>0.5000</v>
      </c>
      <c r="O45" t="str">
        <f>" "</f>
        <v xml:space="preserve"> </v>
      </c>
      <c r="P45">
        <v>1</v>
      </c>
      <c r="Q45" t="str">
        <f>"100"</f>
        <v>100</v>
      </c>
    </row>
    <row r="46" spans="1:17" x14ac:dyDescent="0.2">
      <c r="A46" t="str">
        <f>"Standard"</f>
        <v>Standard</v>
      </c>
      <c r="B46" t="str">
        <f>"TN"</f>
        <v>TN</v>
      </c>
      <c r="C46" t="str">
        <f>"N_cal_25ppm_acid_laurel"</f>
        <v>N_cal_25ppm_acid_laurel</v>
      </c>
      <c r="D46" t="str">
        <f>"N_cal_25ppm_acid_laurel"</f>
        <v>N_cal_25ppm_acid_laurel</v>
      </c>
      <c r="E46" t="str">
        <f>"C:\TOC3201\CalCurves\Itamar\N_cal_25ppm_acid_laurel.2019_08_05_13_35_26.cal"</f>
        <v>C:\TOC3201\CalCurves\Itamar\N_cal_25ppm_acid_laurel.2019_08_05_13_35_26.cal</v>
      </c>
      <c r="F46" t="str">
        <f>""</f>
        <v/>
      </c>
      <c r="G46">
        <v>1</v>
      </c>
      <c r="H46" t="str">
        <f>""</f>
        <v/>
      </c>
      <c r="I46" t="str">
        <f>"8/5/2019 2:03:46 PM"</f>
        <v>8/5/2019 2:03:46 PM</v>
      </c>
      <c r="J46" t="str">
        <f>"2"</f>
        <v>2</v>
      </c>
      <c r="K46" t="str">
        <f>"1"</f>
        <v>1</v>
      </c>
      <c r="L46" t="str">
        <f>"TN"</f>
        <v>TN</v>
      </c>
      <c r="M46" t="str">
        <f>"5.428"</f>
        <v>5.428</v>
      </c>
      <c r="N46" t="str">
        <f>"1.000"</f>
        <v>1.000</v>
      </c>
      <c r="O46" t="str">
        <f>" "</f>
        <v xml:space="preserve"> </v>
      </c>
      <c r="P46">
        <v>0</v>
      </c>
      <c r="Q46" t="str">
        <f>"100"</f>
        <v>100</v>
      </c>
    </row>
    <row r="47" spans="1:17" x14ac:dyDescent="0.2">
      <c r="A47" t="str">
        <f>"Standard"</f>
        <v>Standard</v>
      </c>
      <c r="B47" t="str">
        <f>"TN"</f>
        <v>TN</v>
      </c>
      <c r="C47" t="str">
        <f>"N_cal_25ppm_acid_laurel"</f>
        <v>N_cal_25ppm_acid_laurel</v>
      </c>
      <c r="D47" t="str">
        <f>"N_cal_25ppm_acid_laurel"</f>
        <v>N_cal_25ppm_acid_laurel</v>
      </c>
      <c r="E47" t="str">
        <f>"C:\TOC3201\CalCurves\Itamar\N_cal_25ppm_acid_laurel.2019_08_05_13_35_26.cal"</f>
        <v>C:\TOC3201\CalCurves\Itamar\N_cal_25ppm_acid_laurel.2019_08_05_13_35_26.cal</v>
      </c>
      <c r="F47" t="str">
        <f>""</f>
        <v/>
      </c>
      <c r="G47">
        <v>1</v>
      </c>
      <c r="H47" t="str">
        <f>""</f>
        <v/>
      </c>
      <c r="I47" t="str">
        <f>"8/5/2019 2:06:59 PM"</f>
        <v>8/5/2019 2:06:59 PM</v>
      </c>
      <c r="J47" t="str">
        <f>"2"</f>
        <v>2</v>
      </c>
      <c r="K47" t="str">
        <f>"2"</f>
        <v>2</v>
      </c>
      <c r="L47" t="str">
        <f>"TN"</f>
        <v>TN</v>
      </c>
      <c r="M47" t="str">
        <f>"5.809"</f>
        <v>5.809</v>
      </c>
      <c r="N47" t="str">
        <f>"1.000"</f>
        <v>1.000</v>
      </c>
      <c r="O47" t="str">
        <f>" "</f>
        <v xml:space="preserve"> </v>
      </c>
      <c r="P47">
        <v>1</v>
      </c>
      <c r="Q47" t="str">
        <f>"100"</f>
        <v>100</v>
      </c>
    </row>
    <row r="48" spans="1:17" x14ac:dyDescent="0.2">
      <c r="A48" t="str">
        <f>"Standard"</f>
        <v>Standard</v>
      </c>
      <c r="B48" t="str">
        <f>"TN"</f>
        <v>TN</v>
      </c>
      <c r="C48" t="str">
        <f>"N_cal_25ppm_acid_laurel"</f>
        <v>N_cal_25ppm_acid_laurel</v>
      </c>
      <c r="D48" t="str">
        <f>"N_cal_25ppm_acid_laurel"</f>
        <v>N_cal_25ppm_acid_laurel</v>
      </c>
      <c r="E48" t="str">
        <f>"C:\TOC3201\CalCurves\Itamar\N_cal_25ppm_acid_laurel.2019_08_05_13_35_26.cal"</f>
        <v>C:\TOC3201\CalCurves\Itamar\N_cal_25ppm_acid_laurel.2019_08_05_13_35_26.cal</v>
      </c>
      <c r="F48" t="str">
        <f>""</f>
        <v/>
      </c>
      <c r="G48">
        <v>1</v>
      </c>
      <c r="H48" t="str">
        <f>""</f>
        <v/>
      </c>
      <c r="I48" t="str">
        <f>"8/5/2019 2:10:16 PM"</f>
        <v>8/5/2019 2:10:16 PM</v>
      </c>
      <c r="J48" t="str">
        <f>"2"</f>
        <v>2</v>
      </c>
      <c r="K48" t="str">
        <f>"3"</f>
        <v>3</v>
      </c>
      <c r="L48" t="str">
        <f>"TN"</f>
        <v>TN</v>
      </c>
      <c r="M48" t="str">
        <f>"5.424"</f>
        <v>5.424</v>
      </c>
      <c r="N48" t="str">
        <f>"1.000"</f>
        <v>1.000</v>
      </c>
      <c r="O48" t="str">
        <f>" "</f>
        <v xml:space="preserve"> </v>
      </c>
      <c r="P48">
        <v>0</v>
      </c>
      <c r="Q48" t="str">
        <f>"100"</f>
        <v>100</v>
      </c>
    </row>
    <row r="49" spans="1:17" x14ac:dyDescent="0.2">
      <c r="A49" t="str">
        <f>"Standard"</f>
        <v>Standard</v>
      </c>
      <c r="B49" t="str">
        <f>"TN"</f>
        <v>TN</v>
      </c>
      <c r="C49" t="str">
        <f>"N_cal_25ppm_acid_laurel"</f>
        <v>N_cal_25ppm_acid_laurel</v>
      </c>
      <c r="D49" t="str">
        <f>"N_cal_25ppm_acid_laurel"</f>
        <v>N_cal_25ppm_acid_laurel</v>
      </c>
      <c r="E49" t="str">
        <f>"C:\TOC3201\CalCurves\Itamar\N_cal_25ppm_acid_laurel.2019_08_05_13_35_26.cal"</f>
        <v>C:\TOC3201\CalCurves\Itamar\N_cal_25ppm_acid_laurel.2019_08_05_13_35_26.cal</v>
      </c>
      <c r="F49" t="str">
        <f>""</f>
        <v/>
      </c>
      <c r="G49">
        <v>1</v>
      </c>
      <c r="H49" t="str">
        <f>""</f>
        <v/>
      </c>
      <c r="I49" t="str">
        <f>"8/5/2019 2:13:26 PM"</f>
        <v>8/5/2019 2:13:26 PM</v>
      </c>
      <c r="J49" t="str">
        <f>"2"</f>
        <v>2</v>
      </c>
      <c r="K49" t="str">
        <f>"4"</f>
        <v>4</v>
      </c>
      <c r="L49" t="str">
        <f>"TN"</f>
        <v>TN</v>
      </c>
      <c r="M49" t="str">
        <f>"5.947"</f>
        <v>5.947</v>
      </c>
      <c r="N49" t="str">
        <f>"1.000"</f>
        <v>1.000</v>
      </c>
      <c r="O49" t="str">
        <f>" "</f>
        <v xml:space="preserve"> </v>
      </c>
      <c r="P49">
        <v>1</v>
      </c>
      <c r="Q49" t="str">
        <f>"100"</f>
        <v>100</v>
      </c>
    </row>
    <row r="50" spans="1:17" x14ac:dyDescent="0.2">
      <c r="A50" t="str">
        <f>"Standard"</f>
        <v>Standard</v>
      </c>
      <c r="B50" t="str">
        <f>"TN"</f>
        <v>TN</v>
      </c>
      <c r="C50" t="str">
        <f>"N_cal_25ppm_acid_laurel"</f>
        <v>N_cal_25ppm_acid_laurel</v>
      </c>
      <c r="D50" t="str">
        <f>"N_cal_25ppm_acid_laurel"</f>
        <v>N_cal_25ppm_acid_laurel</v>
      </c>
      <c r="E50" t="str">
        <f>"C:\TOC3201\CalCurves\Itamar\N_cal_25ppm_acid_laurel.2019_08_05_13_35_26.cal"</f>
        <v>C:\TOC3201\CalCurves\Itamar\N_cal_25ppm_acid_laurel.2019_08_05_13_35_26.cal</v>
      </c>
      <c r="F50" t="str">
        <f>""</f>
        <v/>
      </c>
      <c r="G50">
        <v>1</v>
      </c>
      <c r="H50" t="str">
        <f>""</f>
        <v/>
      </c>
      <c r="I50" t="str">
        <f>"8/5/2019 2:16:36 PM"</f>
        <v>8/5/2019 2:16:36 PM</v>
      </c>
      <c r="J50" t="str">
        <f>"2"</f>
        <v>2</v>
      </c>
      <c r="K50" t="str">
        <f>"5"</f>
        <v>5</v>
      </c>
      <c r="L50" t="str">
        <f>"TN"</f>
        <v>TN</v>
      </c>
      <c r="M50" t="str">
        <f>"5.100"</f>
        <v>5.100</v>
      </c>
      <c r="N50" t="str">
        <f>"1.000"</f>
        <v>1.000</v>
      </c>
      <c r="O50" t="str">
        <f>" "</f>
        <v xml:space="preserve"> </v>
      </c>
      <c r="P50">
        <v>0</v>
      </c>
      <c r="Q50" t="str">
        <f>"100"</f>
        <v>100</v>
      </c>
    </row>
    <row r="51" spans="1:17" x14ac:dyDescent="0.2">
      <c r="A51" t="str">
        <f>"Standard"</f>
        <v>Standard</v>
      </c>
      <c r="B51" t="str">
        <f>"TN"</f>
        <v>TN</v>
      </c>
      <c r="C51" t="str">
        <f>"N_cal_25ppm_acid_laurel"</f>
        <v>N_cal_25ppm_acid_laurel</v>
      </c>
      <c r="D51" t="str">
        <f>"N_cal_25ppm_acid_laurel"</f>
        <v>N_cal_25ppm_acid_laurel</v>
      </c>
      <c r="E51" t="str">
        <f>"C:\TOC3201\CalCurves\Itamar\N_cal_25ppm_acid_laurel.2019_08_05_13_35_26.cal"</f>
        <v>C:\TOC3201\CalCurves\Itamar\N_cal_25ppm_acid_laurel.2019_08_05_13_35_26.cal</v>
      </c>
      <c r="F51" t="str">
        <f>""</f>
        <v/>
      </c>
      <c r="G51">
        <v>1</v>
      </c>
      <c r="H51" t="str">
        <f>""</f>
        <v/>
      </c>
      <c r="I51" t="str">
        <f>"8/5/2019 2:23:47 PM"</f>
        <v>8/5/2019 2:23:47 PM</v>
      </c>
      <c r="J51" t="str">
        <f>"3"</f>
        <v>3</v>
      </c>
      <c r="K51" t="str">
        <f>"1"</f>
        <v>1</v>
      </c>
      <c r="L51" t="str">
        <f>"TN"</f>
        <v>TN</v>
      </c>
      <c r="M51" t="str">
        <f>"9.136"</f>
        <v>9.136</v>
      </c>
      <c r="N51" t="str">
        <f>"1.667"</f>
        <v>1.667</v>
      </c>
      <c r="O51" t="str">
        <f>" "</f>
        <v xml:space="preserve"> </v>
      </c>
      <c r="P51">
        <v>0</v>
      </c>
      <c r="Q51" t="str">
        <f>"100"</f>
        <v>100</v>
      </c>
    </row>
    <row r="52" spans="1:17" x14ac:dyDescent="0.2">
      <c r="A52" t="str">
        <f>"Standard"</f>
        <v>Standard</v>
      </c>
      <c r="B52" t="str">
        <f>"TN"</f>
        <v>TN</v>
      </c>
      <c r="C52" t="str">
        <f>"N_cal_25ppm_acid_laurel"</f>
        <v>N_cal_25ppm_acid_laurel</v>
      </c>
      <c r="D52" t="str">
        <f>"N_cal_25ppm_acid_laurel"</f>
        <v>N_cal_25ppm_acid_laurel</v>
      </c>
      <c r="E52" t="str">
        <f>"C:\TOC3201\CalCurves\Itamar\N_cal_25ppm_acid_laurel.2019_08_05_13_35_26.cal"</f>
        <v>C:\TOC3201\CalCurves\Itamar\N_cal_25ppm_acid_laurel.2019_08_05_13_35_26.cal</v>
      </c>
      <c r="F52" t="str">
        <f>""</f>
        <v/>
      </c>
      <c r="G52">
        <v>1</v>
      </c>
      <c r="H52" t="str">
        <f>""</f>
        <v/>
      </c>
      <c r="I52" t="str">
        <f>"8/5/2019 2:27:07 PM"</f>
        <v>8/5/2019 2:27:07 PM</v>
      </c>
      <c r="J52" t="str">
        <f>"3"</f>
        <v>3</v>
      </c>
      <c r="K52" t="str">
        <f>"2"</f>
        <v>2</v>
      </c>
      <c r="L52" t="str">
        <f>"TN"</f>
        <v>TN</v>
      </c>
      <c r="M52" t="str">
        <f>"9.206"</f>
        <v>9.206</v>
      </c>
      <c r="N52" t="str">
        <f>"1.667"</f>
        <v>1.667</v>
      </c>
      <c r="O52" t="str">
        <f>" "</f>
        <v xml:space="preserve"> </v>
      </c>
      <c r="P52">
        <v>0</v>
      </c>
      <c r="Q52" t="str">
        <f>"100"</f>
        <v>100</v>
      </c>
    </row>
    <row r="53" spans="1:17" x14ac:dyDescent="0.2">
      <c r="A53" t="str">
        <f>"Standard"</f>
        <v>Standard</v>
      </c>
      <c r="B53" t="str">
        <f>"TN"</f>
        <v>TN</v>
      </c>
      <c r="C53" t="str">
        <f>"N_cal_25ppm_acid_laurel"</f>
        <v>N_cal_25ppm_acid_laurel</v>
      </c>
      <c r="D53" t="str">
        <f>"N_cal_25ppm_acid_laurel"</f>
        <v>N_cal_25ppm_acid_laurel</v>
      </c>
      <c r="E53" t="str">
        <f>"C:\TOC3201\CalCurves\Itamar\N_cal_25ppm_acid_laurel.2019_08_05_13_35_26.cal"</f>
        <v>C:\TOC3201\CalCurves\Itamar\N_cal_25ppm_acid_laurel.2019_08_05_13_35_26.cal</v>
      </c>
      <c r="F53" t="str">
        <f>""</f>
        <v/>
      </c>
      <c r="G53">
        <v>1</v>
      </c>
      <c r="H53" t="str">
        <f>""</f>
        <v/>
      </c>
      <c r="I53" t="str">
        <f>"8/5/2019 2:30:18 PM"</f>
        <v>8/5/2019 2:30:18 PM</v>
      </c>
      <c r="J53" t="str">
        <f>"3"</f>
        <v>3</v>
      </c>
      <c r="K53" t="str">
        <f>"3"</f>
        <v>3</v>
      </c>
      <c r="L53" t="str">
        <f>"TN"</f>
        <v>TN</v>
      </c>
      <c r="M53" t="str">
        <f>"8.654"</f>
        <v>8.654</v>
      </c>
      <c r="N53" t="str">
        <f>"1.667"</f>
        <v>1.667</v>
      </c>
      <c r="O53" t="str">
        <f>" "</f>
        <v xml:space="preserve"> </v>
      </c>
      <c r="P53">
        <v>1</v>
      </c>
      <c r="Q53" t="str">
        <f>"100"</f>
        <v>100</v>
      </c>
    </row>
    <row r="54" spans="1:17" x14ac:dyDescent="0.2">
      <c r="A54" t="str">
        <f>"Standard"</f>
        <v>Standard</v>
      </c>
      <c r="B54" t="str">
        <f>"TN"</f>
        <v>TN</v>
      </c>
      <c r="C54" t="str">
        <f>"N_cal_25ppm_acid_laurel"</f>
        <v>N_cal_25ppm_acid_laurel</v>
      </c>
      <c r="D54" t="str">
        <f>"N_cal_25ppm_acid_laurel"</f>
        <v>N_cal_25ppm_acid_laurel</v>
      </c>
      <c r="E54" t="str">
        <f>"C:\TOC3201\CalCurves\Itamar\N_cal_25ppm_acid_laurel.2019_08_05_13_35_26.cal"</f>
        <v>C:\TOC3201\CalCurves\Itamar\N_cal_25ppm_acid_laurel.2019_08_05_13_35_26.cal</v>
      </c>
      <c r="F54" t="str">
        <f>""</f>
        <v/>
      </c>
      <c r="G54">
        <v>1</v>
      </c>
      <c r="H54" t="str">
        <f>""</f>
        <v/>
      </c>
      <c r="I54" t="str">
        <f>"8/5/2019 2:33:42 PM"</f>
        <v>8/5/2019 2:33:42 PM</v>
      </c>
      <c r="J54" t="str">
        <f>"3"</f>
        <v>3</v>
      </c>
      <c r="K54" t="str">
        <f>"4"</f>
        <v>4</v>
      </c>
      <c r="L54" t="str">
        <f>"TN"</f>
        <v>TN</v>
      </c>
      <c r="M54" t="str">
        <f>"9.593"</f>
        <v>9.593</v>
      </c>
      <c r="N54" t="str">
        <f>"1.667"</f>
        <v>1.667</v>
      </c>
      <c r="O54" t="str">
        <f>" "</f>
        <v xml:space="preserve"> </v>
      </c>
      <c r="P54">
        <v>1</v>
      </c>
      <c r="Q54" t="str">
        <f>"100"</f>
        <v>100</v>
      </c>
    </row>
    <row r="55" spans="1:17" x14ac:dyDescent="0.2">
      <c r="A55" t="str">
        <f>"Standard"</f>
        <v>Standard</v>
      </c>
      <c r="B55" t="str">
        <f>"TN"</f>
        <v>TN</v>
      </c>
      <c r="C55" t="str">
        <f>"N_cal_25ppm_acid_laurel"</f>
        <v>N_cal_25ppm_acid_laurel</v>
      </c>
      <c r="D55" t="str">
        <f>"N_cal_25ppm_acid_laurel"</f>
        <v>N_cal_25ppm_acid_laurel</v>
      </c>
      <c r="E55" t="str">
        <f>"C:\TOC3201\CalCurves\Itamar\N_cal_25ppm_acid_laurel.2019_08_05_13_35_26.cal"</f>
        <v>C:\TOC3201\CalCurves\Itamar\N_cal_25ppm_acid_laurel.2019_08_05_13_35_26.cal</v>
      </c>
      <c r="F55" t="str">
        <f>""</f>
        <v/>
      </c>
      <c r="G55">
        <v>1</v>
      </c>
      <c r="H55" t="str">
        <f>""</f>
        <v/>
      </c>
      <c r="I55" t="str">
        <f>"8/5/2019 2:36:55 PM"</f>
        <v>8/5/2019 2:36:55 PM</v>
      </c>
      <c r="J55" t="str">
        <f>"3"</f>
        <v>3</v>
      </c>
      <c r="K55" t="str">
        <f>"5"</f>
        <v>5</v>
      </c>
      <c r="L55" t="str">
        <f>"TN"</f>
        <v>TN</v>
      </c>
      <c r="M55" t="str">
        <f>"9.117"</f>
        <v>9.117</v>
      </c>
      <c r="N55" t="str">
        <f>"1.667"</f>
        <v>1.667</v>
      </c>
      <c r="O55" t="str">
        <f>" "</f>
        <v xml:space="preserve"> </v>
      </c>
      <c r="P55">
        <v>0</v>
      </c>
      <c r="Q55" t="str">
        <f>"100"</f>
        <v>100</v>
      </c>
    </row>
    <row r="56" spans="1:17" x14ac:dyDescent="0.2">
      <c r="A56" t="str">
        <f>"Standard"</f>
        <v>Standard</v>
      </c>
      <c r="B56" t="str">
        <f>"TN"</f>
        <v>TN</v>
      </c>
      <c r="C56" t="str">
        <f>"N_cal_25ppm_acid_laurel"</f>
        <v>N_cal_25ppm_acid_laurel</v>
      </c>
      <c r="D56" t="str">
        <f>"N_cal_25ppm_acid_laurel"</f>
        <v>N_cal_25ppm_acid_laurel</v>
      </c>
      <c r="E56" t="str">
        <f>"C:\TOC3201\CalCurves\Itamar\N_cal_25ppm_acid_laurel.2019_08_05_13_35_26.cal"</f>
        <v>C:\TOC3201\CalCurves\Itamar\N_cal_25ppm_acid_laurel.2019_08_05_13_35_26.cal</v>
      </c>
      <c r="F56" t="str">
        <f>""</f>
        <v/>
      </c>
      <c r="G56">
        <v>1</v>
      </c>
      <c r="H56" t="str">
        <f>""</f>
        <v/>
      </c>
      <c r="I56" t="str">
        <f>"8/5/2019 2:44:48 PM"</f>
        <v>8/5/2019 2:44:48 PM</v>
      </c>
      <c r="J56" t="str">
        <f>"4"</f>
        <v>4</v>
      </c>
      <c r="K56" t="str">
        <f>"1"</f>
        <v>1</v>
      </c>
      <c r="L56" t="str">
        <f>"TN"</f>
        <v>TN</v>
      </c>
      <c r="M56" t="str">
        <f>"28.16"</f>
        <v>28.16</v>
      </c>
      <c r="N56" t="str">
        <f>"5.000"</f>
        <v>5.000</v>
      </c>
      <c r="O56" t="str">
        <f>" "</f>
        <v xml:space="preserve"> </v>
      </c>
      <c r="P56">
        <v>0</v>
      </c>
      <c r="Q56" t="str">
        <f>"100"</f>
        <v>100</v>
      </c>
    </row>
    <row r="57" spans="1:17" x14ac:dyDescent="0.2">
      <c r="A57" t="str">
        <f>"Standard"</f>
        <v>Standard</v>
      </c>
      <c r="B57" t="str">
        <f>"TN"</f>
        <v>TN</v>
      </c>
      <c r="C57" t="str">
        <f>"N_cal_25ppm_acid_laurel"</f>
        <v>N_cal_25ppm_acid_laurel</v>
      </c>
      <c r="D57" t="str">
        <f>"N_cal_25ppm_acid_laurel"</f>
        <v>N_cal_25ppm_acid_laurel</v>
      </c>
      <c r="E57" t="str">
        <f>"C:\TOC3201\CalCurves\Itamar\N_cal_25ppm_acid_laurel.2019_08_05_13_35_26.cal"</f>
        <v>C:\TOC3201\CalCurves\Itamar\N_cal_25ppm_acid_laurel.2019_08_05_13_35_26.cal</v>
      </c>
      <c r="F57" t="str">
        <f>""</f>
        <v/>
      </c>
      <c r="G57">
        <v>1</v>
      </c>
      <c r="H57" t="str">
        <f>""</f>
        <v/>
      </c>
      <c r="I57" t="str">
        <f>"8/5/2019 2:48:16 PM"</f>
        <v>8/5/2019 2:48:16 PM</v>
      </c>
      <c r="J57" t="str">
        <f>"4"</f>
        <v>4</v>
      </c>
      <c r="K57" t="str">
        <f>"2"</f>
        <v>2</v>
      </c>
      <c r="L57" t="str">
        <f>"TN"</f>
        <v>TN</v>
      </c>
      <c r="M57" t="str">
        <f>"27.89"</f>
        <v>27.89</v>
      </c>
      <c r="N57" t="str">
        <f>"5.000"</f>
        <v>5.000</v>
      </c>
      <c r="O57" t="str">
        <f>" "</f>
        <v xml:space="preserve"> </v>
      </c>
      <c r="P57">
        <v>0</v>
      </c>
      <c r="Q57" t="str">
        <f>"100"</f>
        <v>100</v>
      </c>
    </row>
    <row r="58" spans="1:17" x14ac:dyDescent="0.2">
      <c r="A58" t="str">
        <f>"Standard"</f>
        <v>Standard</v>
      </c>
      <c r="B58" t="str">
        <f>"TN"</f>
        <v>TN</v>
      </c>
      <c r="C58" t="str">
        <f>"N_cal_25ppm_acid_laurel"</f>
        <v>N_cal_25ppm_acid_laurel</v>
      </c>
      <c r="D58" t="str">
        <f>"N_cal_25ppm_acid_laurel"</f>
        <v>N_cal_25ppm_acid_laurel</v>
      </c>
      <c r="E58" t="str">
        <f>"C:\TOC3201\CalCurves\Itamar\N_cal_25ppm_acid_laurel.2019_08_05_13_35_26.cal"</f>
        <v>C:\TOC3201\CalCurves\Itamar\N_cal_25ppm_acid_laurel.2019_08_05_13_35_26.cal</v>
      </c>
      <c r="F58" t="str">
        <f>""</f>
        <v/>
      </c>
      <c r="G58">
        <v>1</v>
      </c>
      <c r="H58" t="str">
        <f>""</f>
        <v/>
      </c>
      <c r="I58" t="str">
        <f>"8/5/2019 2:51:51 PM"</f>
        <v>8/5/2019 2:51:51 PM</v>
      </c>
      <c r="J58" t="str">
        <f>"4"</f>
        <v>4</v>
      </c>
      <c r="K58" t="str">
        <f>"3"</f>
        <v>3</v>
      </c>
      <c r="L58" t="str">
        <f>"TN"</f>
        <v>TN</v>
      </c>
      <c r="M58" t="str">
        <f>"26.86"</f>
        <v>26.86</v>
      </c>
      <c r="N58" t="str">
        <f>"5.000"</f>
        <v>5.000</v>
      </c>
      <c r="O58" t="str">
        <f>" "</f>
        <v xml:space="preserve"> </v>
      </c>
      <c r="P58">
        <v>1</v>
      </c>
      <c r="Q58" t="str">
        <f>"100"</f>
        <v>100</v>
      </c>
    </row>
    <row r="59" spans="1:17" x14ac:dyDescent="0.2">
      <c r="A59" t="str">
        <f>"Standard"</f>
        <v>Standard</v>
      </c>
      <c r="B59" t="str">
        <f>"TN"</f>
        <v>TN</v>
      </c>
      <c r="C59" t="str">
        <f>"N_cal_25ppm_acid_laurel"</f>
        <v>N_cal_25ppm_acid_laurel</v>
      </c>
      <c r="D59" t="str">
        <f>"N_cal_25ppm_acid_laurel"</f>
        <v>N_cal_25ppm_acid_laurel</v>
      </c>
      <c r="E59" t="str">
        <f>"C:\TOC3201\CalCurves\Itamar\N_cal_25ppm_acid_laurel.2019_08_05_13_35_26.cal"</f>
        <v>C:\TOC3201\CalCurves\Itamar\N_cal_25ppm_acid_laurel.2019_08_05_13_35_26.cal</v>
      </c>
      <c r="F59" t="str">
        <f>""</f>
        <v/>
      </c>
      <c r="G59">
        <v>1</v>
      </c>
      <c r="H59" t="str">
        <f>""</f>
        <v/>
      </c>
      <c r="I59" t="str">
        <f>"8/5/2019 2:55:13 PM"</f>
        <v>8/5/2019 2:55:13 PM</v>
      </c>
      <c r="J59" t="str">
        <f>"4"</f>
        <v>4</v>
      </c>
      <c r="K59" t="str">
        <f>"4"</f>
        <v>4</v>
      </c>
      <c r="L59" t="str">
        <f>"TN"</f>
        <v>TN</v>
      </c>
      <c r="M59" t="str">
        <f>"27.62"</f>
        <v>27.62</v>
      </c>
      <c r="N59" t="str">
        <f>"5.000"</f>
        <v>5.000</v>
      </c>
      <c r="O59" t="str">
        <f>" "</f>
        <v xml:space="preserve"> </v>
      </c>
      <c r="P59">
        <v>0</v>
      </c>
      <c r="Q59" t="str">
        <f>"100"</f>
        <v>100</v>
      </c>
    </row>
    <row r="60" spans="1:17" x14ac:dyDescent="0.2">
      <c r="A60" t="str">
        <f>"Standard"</f>
        <v>Standard</v>
      </c>
      <c r="B60" t="str">
        <f>"TN"</f>
        <v>TN</v>
      </c>
      <c r="C60" t="str">
        <f>"N_cal_25ppm_acid_laurel"</f>
        <v>N_cal_25ppm_acid_laurel</v>
      </c>
      <c r="D60" t="str">
        <f>"N_cal_25ppm_acid_laurel"</f>
        <v>N_cal_25ppm_acid_laurel</v>
      </c>
      <c r="E60" t="str">
        <f>"C:\TOC3201\CalCurves\Itamar\N_cal_25ppm_acid_laurel.2019_08_05_13_35_26.cal"</f>
        <v>C:\TOC3201\CalCurves\Itamar\N_cal_25ppm_acid_laurel.2019_08_05_13_35_26.cal</v>
      </c>
      <c r="F60" t="str">
        <f>""</f>
        <v/>
      </c>
      <c r="G60">
        <v>1</v>
      </c>
      <c r="H60" t="str">
        <f>""</f>
        <v/>
      </c>
      <c r="I60" t="str">
        <f>"8/5/2019 3:02:50 PM"</f>
        <v>8/5/2019 3:02:50 PM</v>
      </c>
      <c r="J60" t="str">
        <f>"5"</f>
        <v>5</v>
      </c>
      <c r="K60" t="str">
        <f>"1"</f>
        <v>1</v>
      </c>
      <c r="L60" t="str">
        <f>"TN"</f>
        <v>TN</v>
      </c>
      <c r="M60" t="str">
        <f>"70.71"</f>
        <v>70.71</v>
      </c>
      <c r="N60" t="str">
        <f>"12.50"</f>
        <v>12.50</v>
      </c>
      <c r="O60" t="str">
        <f>" "</f>
        <v xml:space="preserve"> </v>
      </c>
      <c r="P60">
        <v>0</v>
      </c>
      <c r="Q60" t="str">
        <f>"100"</f>
        <v>100</v>
      </c>
    </row>
    <row r="61" spans="1:17" x14ac:dyDescent="0.2">
      <c r="A61" t="str">
        <f>"Standard"</f>
        <v>Standard</v>
      </c>
      <c r="B61" t="str">
        <f>"TN"</f>
        <v>TN</v>
      </c>
      <c r="C61" t="str">
        <f>"N_cal_25ppm_acid_laurel"</f>
        <v>N_cal_25ppm_acid_laurel</v>
      </c>
      <c r="D61" t="str">
        <f>"N_cal_25ppm_acid_laurel"</f>
        <v>N_cal_25ppm_acid_laurel</v>
      </c>
      <c r="E61" t="str">
        <f>"C:\TOC3201\CalCurves\Itamar\N_cal_25ppm_acid_laurel.2019_08_05_13_35_26.cal"</f>
        <v>C:\TOC3201\CalCurves\Itamar\N_cal_25ppm_acid_laurel.2019_08_05_13_35_26.cal</v>
      </c>
      <c r="F61" t="str">
        <f>""</f>
        <v/>
      </c>
      <c r="G61">
        <v>1</v>
      </c>
      <c r="H61" t="str">
        <f>""</f>
        <v/>
      </c>
      <c r="I61" t="str">
        <f>"8/5/2019 3:06:35 PM"</f>
        <v>8/5/2019 3:06:35 PM</v>
      </c>
      <c r="J61" t="str">
        <f>"5"</f>
        <v>5</v>
      </c>
      <c r="K61" t="str">
        <f>"2"</f>
        <v>2</v>
      </c>
      <c r="L61" t="str">
        <f>"TN"</f>
        <v>TN</v>
      </c>
      <c r="M61" t="str">
        <f>"70.59"</f>
        <v>70.59</v>
      </c>
      <c r="N61" t="str">
        <f>"12.50"</f>
        <v>12.50</v>
      </c>
      <c r="O61" t="str">
        <f>" "</f>
        <v xml:space="preserve"> </v>
      </c>
      <c r="P61">
        <v>0</v>
      </c>
      <c r="Q61" t="str">
        <f>"100"</f>
        <v>100</v>
      </c>
    </row>
    <row r="62" spans="1:17" x14ac:dyDescent="0.2">
      <c r="A62" t="str">
        <f>"Standard"</f>
        <v>Standard</v>
      </c>
      <c r="B62" t="str">
        <f>"TN"</f>
        <v>TN</v>
      </c>
      <c r="C62" t="str">
        <f>"N_cal_25ppm_acid_laurel"</f>
        <v>N_cal_25ppm_acid_laurel</v>
      </c>
      <c r="D62" t="str">
        <f>"N_cal_25ppm_acid_laurel"</f>
        <v>N_cal_25ppm_acid_laurel</v>
      </c>
      <c r="E62" t="str">
        <f>"C:\TOC3201\CalCurves\Itamar\N_cal_25ppm_acid_laurel.2019_08_05_13_35_26.cal"</f>
        <v>C:\TOC3201\CalCurves\Itamar\N_cal_25ppm_acid_laurel.2019_08_05_13_35_26.cal</v>
      </c>
      <c r="F62" t="str">
        <f>""</f>
        <v/>
      </c>
      <c r="G62">
        <v>1</v>
      </c>
      <c r="H62" t="str">
        <f>""</f>
        <v/>
      </c>
      <c r="I62" t="str">
        <f>"8/5/2019 3:10:14 PM"</f>
        <v>8/5/2019 3:10:14 PM</v>
      </c>
      <c r="J62" t="str">
        <f>"5"</f>
        <v>5</v>
      </c>
      <c r="K62" t="str">
        <f>"3"</f>
        <v>3</v>
      </c>
      <c r="L62" t="str">
        <f>"TN"</f>
        <v>TN</v>
      </c>
      <c r="M62" t="str">
        <f>"68.71"</f>
        <v>68.71</v>
      </c>
      <c r="N62" t="str">
        <f>"12.50"</f>
        <v>12.50</v>
      </c>
      <c r="O62" t="str">
        <f>" "</f>
        <v xml:space="preserve"> </v>
      </c>
      <c r="P62">
        <v>0</v>
      </c>
      <c r="Q62" t="str">
        <f>"100"</f>
        <v>100</v>
      </c>
    </row>
    <row r="63" spans="1:17" x14ac:dyDescent="0.2">
      <c r="A63" t="str">
        <f>"Standard"</f>
        <v>Standard</v>
      </c>
      <c r="B63" t="str">
        <f>"TN"</f>
        <v>TN</v>
      </c>
      <c r="C63" t="str">
        <f>"N_cal_25ppm_acid_laurel"</f>
        <v>N_cal_25ppm_acid_laurel</v>
      </c>
      <c r="D63" t="str">
        <f>"N_cal_25ppm_acid_laurel"</f>
        <v>N_cal_25ppm_acid_laurel</v>
      </c>
      <c r="E63" t="str">
        <f>"C:\TOC3201\CalCurves\Itamar\N_cal_25ppm_acid_laurel.2019_08_05_13_35_26.cal"</f>
        <v>C:\TOC3201\CalCurves\Itamar\N_cal_25ppm_acid_laurel.2019_08_05_13_35_26.cal</v>
      </c>
      <c r="F63" t="str">
        <f>""</f>
        <v/>
      </c>
      <c r="G63">
        <v>1</v>
      </c>
      <c r="H63" t="str">
        <f>""</f>
        <v/>
      </c>
      <c r="I63" t="str">
        <f>"8/5/2019 3:17:22 PM"</f>
        <v>8/5/2019 3:17:22 PM</v>
      </c>
      <c r="J63" t="str">
        <f>"6"</f>
        <v>6</v>
      </c>
      <c r="K63" t="str">
        <f>"1"</f>
        <v>1</v>
      </c>
      <c r="L63" t="str">
        <f>"TN"</f>
        <v>TN</v>
      </c>
      <c r="M63" t="str">
        <f>"139.1"</f>
        <v>139.1</v>
      </c>
      <c r="N63" t="str">
        <f>"25.00"</f>
        <v>25.00</v>
      </c>
      <c r="O63" t="str">
        <f>" "</f>
        <v xml:space="preserve"> </v>
      </c>
      <c r="P63">
        <v>0</v>
      </c>
      <c r="Q63" t="str">
        <f>"100"</f>
        <v>100</v>
      </c>
    </row>
    <row r="64" spans="1:17" x14ac:dyDescent="0.2">
      <c r="A64" t="str">
        <f>"Standard"</f>
        <v>Standard</v>
      </c>
      <c r="B64" t="str">
        <f>"TN"</f>
        <v>TN</v>
      </c>
      <c r="C64" t="str">
        <f>"N_cal_25ppm_acid_laurel"</f>
        <v>N_cal_25ppm_acid_laurel</v>
      </c>
      <c r="D64" t="str">
        <f>"N_cal_25ppm_acid_laurel"</f>
        <v>N_cal_25ppm_acid_laurel</v>
      </c>
      <c r="E64" t="str">
        <f>"C:\TOC3201\CalCurves\Itamar\N_cal_25ppm_acid_laurel.2019_08_05_13_35_26.cal"</f>
        <v>C:\TOC3201\CalCurves\Itamar\N_cal_25ppm_acid_laurel.2019_08_05_13_35_26.cal</v>
      </c>
      <c r="F64" t="str">
        <f>""</f>
        <v/>
      </c>
      <c r="G64">
        <v>1</v>
      </c>
      <c r="H64" t="str">
        <f>""</f>
        <v/>
      </c>
      <c r="I64" t="str">
        <f>"8/5/2019 3:21:02 PM"</f>
        <v>8/5/2019 3:21:02 PM</v>
      </c>
      <c r="J64" t="str">
        <f>"6"</f>
        <v>6</v>
      </c>
      <c r="K64" t="str">
        <f>"2"</f>
        <v>2</v>
      </c>
      <c r="L64" t="str">
        <f>"TN"</f>
        <v>TN</v>
      </c>
      <c r="M64" t="str">
        <f>"142.5"</f>
        <v>142.5</v>
      </c>
      <c r="N64" t="str">
        <f>"25.00"</f>
        <v>25.00</v>
      </c>
      <c r="O64" t="str">
        <f>" "</f>
        <v xml:space="preserve"> </v>
      </c>
      <c r="P64">
        <v>0</v>
      </c>
      <c r="Q64" t="str">
        <f>"100"</f>
        <v>100</v>
      </c>
    </row>
    <row r="65" spans="1:17" x14ac:dyDescent="0.2">
      <c r="A65" t="str">
        <f>"Standard"</f>
        <v>Standard</v>
      </c>
      <c r="B65" t="str">
        <f>"TN"</f>
        <v>TN</v>
      </c>
      <c r="C65" t="str">
        <f>"N_cal_25ppm_acid_laurel"</f>
        <v>N_cal_25ppm_acid_laurel</v>
      </c>
      <c r="D65" t="str">
        <f>"N_cal_25ppm_acid_laurel"</f>
        <v>N_cal_25ppm_acid_laurel</v>
      </c>
      <c r="E65" t="str">
        <f>"C:\TOC3201\CalCurves\Itamar\N_cal_25ppm_acid_laurel.2019_08_05_13_35_26.cal"</f>
        <v>C:\TOC3201\CalCurves\Itamar\N_cal_25ppm_acid_laurel.2019_08_05_13_35_26.cal</v>
      </c>
      <c r="F65" t="str">
        <f>""</f>
        <v/>
      </c>
      <c r="G65">
        <v>1</v>
      </c>
      <c r="H65" t="str">
        <f>""</f>
        <v/>
      </c>
      <c r="I65" t="str">
        <f>"8/5/2019 3:24:47 PM"</f>
        <v>8/5/2019 3:24:47 PM</v>
      </c>
      <c r="J65" t="str">
        <f>"6"</f>
        <v>6</v>
      </c>
      <c r="K65" t="str">
        <f>"3"</f>
        <v>3</v>
      </c>
      <c r="L65" t="str">
        <f>"TN"</f>
        <v>TN</v>
      </c>
      <c r="M65" t="str">
        <f>"136.8"</f>
        <v>136.8</v>
      </c>
      <c r="N65" t="str">
        <f>"25.00"</f>
        <v>25.00</v>
      </c>
      <c r="O65" t="str">
        <f>" "</f>
        <v xml:space="preserve"> </v>
      </c>
      <c r="P65">
        <v>1</v>
      </c>
      <c r="Q65" t="str">
        <f>"100"</f>
        <v>100</v>
      </c>
    </row>
    <row r="66" spans="1:17" x14ac:dyDescent="0.2">
      <c r="A66" t="str">
        <f>"Standard"</f>
        <v>Standard</v>
      </c>
      <c r="B66" t="str">
        <f>"TN"</f>
        <v>TN</v>
      </c>
      <c r="C66" t="str">
        <f>"N_cal_25ppm_acid_laurel"</f>
        <v>N_cal_25ppm_acid_laurel</v>
      </c>
      <c r="D66" t="str">
        <f>"N_cal_25ppm_acid_laurel"</f>
        <v>N_cal_25ppm_acid_laurel</v>
      </c>
      <c r="E66" t="str">
        <f>"C:\TOC3201\CalCurves\Itamar\N_cal_25ppm_acid_laurel.2019_08_05_13_35_26.cal"</f>
        <v>C:\TOC3201\CalCurves\Itamar\N_cal_25ppm_acid_laurel.2019_08_05_13_35_26.cal</v>
      </c>
      <c r="F66" t="str">
        <f>""</f>
        <v/>
      </c>
      <c r="G66">
        <v>1</v>
      </c>
      <c r="H66" t="str">
        <f>""</f>
        <v/>
      </c>
      <c r="I66" t="str">
        <f>"8/5/2019 3:28:27 PM"</f>
        <v>8/5/2019 3:28:27 PM</v>
      </c>
      <c r="J66" t="str">
        <f>"6"</f>
        <v>6</v>
      </c>
      <c r="K66" t="str">
        <f>"4"</f>
        <v>4</v>
      </c>
      <c r="L66" t="str">
        <f>"TN"</f>
        <v>TN</v>
      </c>
      <c r="M66" t="str">
        <f>"142.2"</f>
        <v>142.2</v>
      </c>
      <c r="N66" t="str">
        <f>"25.00"</f>
        <v>25.00</v>
      </c>
      <c r="O66" t="str">
        <f>" "</f>
        <v xml:space="preserve"> </v>
      </c>
      <c r="P66">
        <v>0</v>
      </c>
      <c r="Q66" t="str">
        <f>"100"</f>
        <v>100</v>
      </c>
    </row>
    <row r="67" spans="1:17" x14ac:dyDescent="0.2">
      <c r="A67" t="str">
        <f>"Unknown"</f>
        <v>Unknown</v>
      </c>
      <c r="B67" t="str">
        <f>"NPOC/TN"</f>
        <v>NPOC/TN</v>
      </c>
      <c r="C67" t="str">
        <f>"25ppm"</f>
        <v>25ppm</v>
      </c>
      <c r="D67" t="str">
        <f>"25ppm"</f>
        <v>25ppm</v>
      </c>
      <c r="E67" t="str">
        <f>"C:\TOC3201\Methods\Itamar\acid_sample.met"</f>
        <v>C:\TOC3201\Methods\Itamar\acid_sample.met</v>
      </c>
      <c r="F67" t="str">
        <f>"C:\TOC3201\CalCurves\Itamar\C_cal_100ppm_acid_laurel.2019_08_05_11_33_40.cal"</f>
        <v>C:\TOC3201\CalCurves\Itamar\C_cal_100ppm_acid_laurel.2019_08_05_11_33_40.cal</v>
      </c>
      <c r="G67">
        <v>1</v>
      </c>
      <c r="H67" t="str">
        <f>""</f>
        <v/>
      </c>
      <c r="I67" t="str">
        <f>"8/5/2019 3:39:04 PM"</f>
        <v>8/5/2019 3:39:04 PM</v>
      </c>
      <c r="J67" t="str">
        <f>"1"</f>
        <v>1</v>
      </c>
      <c r="K67" t="str">
        <f>"1"</f>
        <v>1</v>
      </c>
      <c r="L67" t="str">
        <f>"NPOC"</f>
        <v>NPOC</v>
      </c>
      <c r="M67" t="str">
        <f>"29.51"</f>
        <v>29.51</v>
      </c>
      <c r="N67" t="str">
        <f>"24.90"</f>
        <v>24.90</v>
      </c>
      <c r="O67" t="str">
        <f>"NPOC:25.35mg/L TN:24.26mg/L"</f>
        <v>NPOC:25.35mg/L TN:24.26mg/L</v>
      </c>
      <c r="P67">
        <v>0</v>
      </c>
      <c r="Q67" t="str">
        <f>"80"</f>
        <v>80</v>
      </c>
    </row>
    <row r="68" spans="1:17" x14ac:dyDescent="0.2">
      <c r="A68" t="str">
        <f>"Unknown"</f>
        <v>Unknown</v>
      </c>
      <c r="B68" t="str">
        <f>"NPOC/TN"</f>
        <v>NPOC/TN</v>
      </c>
      <c r="C68" t="str">
        <f>"25ppm"</f>
        <v>25ppm</v>
      </c>
      <c r="D68" t="str">
        <f>"25ppm"</f>
        <v>25ppm</v>
      </c>
      <c r="E68" t="str">
        <f>"C:\TOC3201\Methods\Itamar\acid_sample.met"</f>
        <v>C:\TOC3201\Methods\Itamar\acid_sample.met</v>
      </c>
      <c r="F68" t="str">
        <f>"C:\TOC3201\CalCurves\Itamar\C_cal_100ppm_acid_laurel.2019_08_05_11_33_40.cal"</f>
        <v>C:\TOC3201\CalCurves\Itamar\C_cal_100ppm_acid_laurel.2019_08_05_11_33_40.cal</v>
      </c>
      <c r="G68">
        <v>1</v>
      </c>
      <c r="H68" t="str">
        <f>""</f>
        <v/>
      </c>
      <c r="I68" t="str">
        <f>"8/5/2019 3:42:28 PM"</f>
        <v>8/5/2019 3:42:28 PM</v>
      </c>
      <c r="J68" t="str">
        <f>"1"</f>
        <v>1</v>
      </c>
      <c r="K68" t="str">
        <f>"2"</f>
        <v>2</v>
      </c>
      <c r="L68" t="str">
        <f>"NPOC"</f>
        <v>NPOC</v>
      </c>
      <c r="M68" t="str">
        <f>"29.23"</f>
        <v>29.23</v>
      </c>
      <c r="N68" t="str">
        <f>"24.68"</f>
        <v>24.68</v>
      </c>
      <c r="O68" t="str">
        <f>"NPOC:25.35mg/L TN:24.26mg/L"</f>
        <v>NPOC:25.35mg/L TN:24.26mg/L</v>
      </c>
      <c r="P68">
        <v>1</v>
      </c>
      <c r="Q68" t="str">
        <f>"80"</f>
        <v>80</v>
      </c>
    </row>
    <row r="69" spans="1:17" x14ac:dyDescent="0.2">
      <c r="A69" t="str">
        <f>"Unknown"</f>
        <v>Unknown</v>
      </c>
      <c r="B69" t="str">
        <f>"NPOC/TN"</f>
        <v>NPOC/TN</v>
      </c>
      <c r="C69" t="str">
        <f>"25ppm"</f>
        <v>25ppm</v>
      </c>
      <c r="D69" t="str">
        <f>"25ppm"</f>
        <v>25ppm</v>
      </c>
      <c r="E69" t="str">
        <f>"C:\TOC3201\Methods\Itamar\acid_sample.met"</f>
        <v>C:\TOC3201\Methods\Itamar\acid_sample.met</v>
      </c>
      <c r="F69" t="str">
        <f>"C:\TOC3201\CalCurves\Itamar\C_cal_100ppm_acid_laurel.2019_08_05_11_33_40.cal"</f>
        <v>C:\TOC3201\CalCurves\Itamar\C_cal_100ppm_acid_laurel.2019_08_05_11_33_40.cal</v>
      </c>
      <c r="G69">
        <v>1</v>
      </c>
      <c r="H69" t="str">
        <f>""</f>
        <v/>
      </c>
      <c r="I69" t="str">
        <f>"8/5/2019 3:45:56 PM"</f>
        <v>8/5/2019 3:45:56 PM</v>
      </c>
      <c r="J69" t="str">
        <f>"1"</f>
        <v>1</v>
      </c>
      <c r="K69" t="str">
        <f>"3"</f>
        <v>3</v>
      </c>
      <c r="L69" t="str">
        <f>"NPOC"</f>
        <v>NPOC</v>
      </c>
      <c r="M69" t="str">
        <f>"30.50"</f>
        <v>30.50</v>
      </c>
      <c r="N69" t="str">
        <f>"25.68"</f>
        <v>25.68</v>
      </c>
      <c r="O69" t="str">
        <f>"NPOC:25.35mg/L TN:24.26mg/L"</f>
        <v>NPOC:25.35mg/L TN:24.26mg/L</v>
      </c>
      <c r="P69">
        <v>0</v>
      </c>
      <c r="Q69" t="str">
        <f>"80"</f>
        <v>80</v>
      </c>
    </row>
    <row r="70" spans="1:17" x14ac:dyDescent="0.2">
      <c r="A70" t="str">
        <f>"Unknown"</f>
        <v>Unknown</v>
      </c>
      <c r="B70" t="str">
        <f>"NPOC/TN"</f>
        <v>NPOC/TN</v>
      </c>
      <c r="C70" t="str">
        <f>"25ppm"</f>
        <v>25ppm</v>
      </c>
      <c r="D70" t="str">
        <f>"25ppm"</f>
        <v>25ppm</v>
      </c>
      <c r="E70" t="str">
        <f>"C:\TOC3201\Methods\Itamar\acid_sample.met"</f>
        <v>C:\TOC3201\Methods\Itamar\acid_sample.met</v>
      </c>
      <c r="F70" t="str">
        <f>"C:\TOC3201\CalCurves\Itamar\C_cal_100ppm_acid_laurel.2019_08_05_11_33_40.cal"</f>
        <v>C:\TOC3201\CalCurves\Itamar\C_cal_100ppm_acid_laurel.2019_08_05_11_33_40.cal</v>
      </c>
      <c r="G70">
        <v>1</v>
      </c>
      <c r="H70" t="str">
        <f>""</f>
        <v/>
      </c>
      <c r="I70" t="str">
        <f>"8/5/2019 3:49:09 PM"</f>
        <v>8/5/2019 3:49:09 PM</v>
      </c>
      <c r="J70" t="str">
        <f>"1"</f>
        <v>1</v>
      </c>
      <c r="K70" t="str">
        <f>"4"</f>
        <v>4</v>
      </c>
      <c r="L70" t="str">
        <f>"NPOC"</f>
        <v>NPOC</v>
      </c>
      <c r="M70" t="str">
        <f>"30.24"</f>
        <v>30.24</v>
      </c>
      <c r="N70" t="str">
        <f>"25.47"</f>
        <v>25.47</v>
      </c>
      <c r="O70" t="str">
        <f>"NPOC:25.35mg/L TN:24.26mg/L"</f>
        <v>NPOC:25.35mg/L TN:24.26mg/L</v>
      </c>
      <c r="P70">
        <v>0</v>
      </c>
      <c r="Q70" t="str">
        <f>"80"</f>
        <v>80</v>
      </c>
    </row>
    <row r="71" spans="1:17" x14ac:dyDescent="0.2">
      <c r="A71" t="str">
        <f>"Unknown"</f>
        <v>Unknown</v>
      </c>
      <c r="B71" t="str">
        <f>"NPOC/TN"</f>
        <v>NPOC/TN</v>
      </c>
      <c r="C71" t="str">
        <f>"25ppm"</f>
        <v>25ppm</v>
      </c>
      <c r="D71" t="str">
        <f>"25ppm"</f>
        <v>25ppm</v>
      </c>
      <c r="E71" t="str">
        <f>"C:\TOC3201\Methods\Itamar\acid_sample.met"</f>
        <v>C:\TOC3201\Methods\Itamar\acid_sample.met</v>
      </c>
      <c r="F71" t="str">
        <f>"C:\TOC3201\CalCurves\Itamar\N_cal_25ppm_acid_laurel.2019_08_05_13_35_26.cal"</f>
        <v>C:\TOC3201\CalCurves\Itamar\N_cal_25ppm_acid_laurel.2019_08_05_13_35_26.cal</v>
      </c>
      <c r="G71">
        <v>1</v>
      </c>
      <c r="H71" t="str">
        <f>""</f>
        <v/>
      </c>
      <c r="I71" t="str">
        <f>"8/5/2019 3:39:04 PM"</f>
        <v>8/5/2019 3:39:04 PM</v>
      </c>
      <c r="J71" t="str">
        <f>"1"</f>
        <v>1</v>
      </c>
      <c r="K71" t="str">
        <f>"1"</f>
        <v>1</v>
      </c>
      <c r="L71" t="str">
        <f>"TN"</f>
        <v>TN</v>
      </c>
      <c r="M71" t="str">
        <f>"27.54"</f>
        <v>27.54</v>
      </c>
      <c r="N71" t="str">
        <f>"24.64"</f>
        <v>24.64</v>
      </c>
      <c r="O71" t="str">
        <f>"NPOC:25.35mg/L TN:24.26mg/L"</f>
        <v>NPOC:25.35mg/L TN:24.26mg/L</v>
      </c>
      <c r="P71">
        <v>0</v>
      </c>
      <c r="Q71" t="str">
        <f>"80"</f>
        <v>80</v>
      </c>
    </row>
    <row r="72" spans="1:17" x14ac:dyDescent="0.2">
      <c r="A72" t="str">
        <f>"Unknown"</f>
        <v>Unknown</v>
      </c>
      <c r="B72" t="str">
        <f>"NPOC/TN"</f>
        <v>NPOC/TN</v>
      </c>
      <c r="C72" t="str">
        <f>"25ppm"</f>
        <v>25ppm</v>
      </c>
      <c r="D72" t="str">
        <f>"25ppm"</f>
        <v>25ppm</v>
      </c>
      <c r="E72" t="str">
        <f>"C:\TOC3201\Methods\Itamar\acid_sample.met"</f>
        <v>C:\TOC3201\Methods\Itamar\acid_sample.met</v>
      </c>
      <c r="F72" t="str">
        <f>"C:\TOC3201\CalCurves\Itamar\N_cal_25ppm_acid_laurel.2019_08_05_13_35_26.cal"</f>
        <v>C:\TOC3201\CalCurves\Itamar\N_cal_25ppm_acid_laurel.2019_08_05_13_35_26.cal</v>
      </c>
      <c r="G72">
        <v>1</v>
      </c>
      <c r="H72" t="str">
        <f>""</f>
        <v/>
      </c>
      <c r="I72" t="str">
        <f>"8/5/2019 3:42:28 PM"</f>
        <v>8/5/2019 3:42:28 PM</v>
      </c>
      <c r="J72" t="str">
        <f>"1"</f>
        <v>1</v>
      </c>
      <c r="K72" t="str">
        <f>"2"</f>
        <v>2</v>
      </c>
      <c r="L72" t="str">
        <f>"TN"</f>
        <v>TN</v>
      </c>
      <c r="M72" t="str">
        <f>"26.68"</f>
        <v>26.68</v>
      </c>
      <c r="N72" t="str">
        <f>"23.88"</f>
        <v>23.88</v>
      </c>
      <c r="O72" t="str">
        <f>"NPOC:25.35mg/L TN:24.26mg/L"</f>
        <v>NPOC:25.35mg/L TN:24.26mg/L</v>
      </c>
      <c r="P72">
        <v>0</v>
      </c>
      <c r="Q72" t="str">
        <f>"80"</f>
        <v>80</v>
      </c>
    </row>
    <row r="73" spans="1:17" x14ac:dyDescent="0.2">
      <c r="A73" t="str">
        <f>"Unknown"</f>
        <v>Unknown</v>
      </c>
      <c r="B73" t="str">
        <f>"NPOC/TN"</f>
        <v>NPOC/TN</v>
      </c>
      <c r="C73" t="str">
        <f>"25ppm"</f>
        <v>25ppm</v>
      </c>
      <c r="D73" t="str">
        <f>"25ppm"</f>
        <v>25ppm</v>
      </c>
      <c r="E73" t="str">
        <f>"C:\TOC3201\Methods\Itamar\acid_sample.met"</f>
        <v>C:\TOC3201\Methods\Itamar\acid_sample.met</v>
      </c>
      <c r="F73" t="str">
        <f>"C:\TOC3201\CalCurves\Itamar\N_cal_25ppm_acid_laurel.2019_08_05_13_35_26.cal"</f>
        <v>C:\TOC3201\CalCurves\Itamar\N_cal_25ppm_acid_laurel.2019_08_05_13_35_26.cal</v>
      </c>
      <c r="G73">
        <v>1</v>
      </c>
      <c r="H73" t="str">
        <f>""</f>
        <v/>
      </c>
      <c r="I73" t="str">
        <f>"8/5/2019 3:45:56 PM"</f>
        <v>8/5/2019 3:45:56 PM</v>
      </c>
      <c r="J73" t="str">
        <f>"1"</f>
        <v>1</v>
      </c>
      <c r="K73" t="str">
        <f>"3"</f>
        <v>3</v>
      </c>
      <c r="L73" t="str">
        <f>"TN"</f>
        <v>TN</v>
      </c>
      <c r="M73" t="str">
        <f>"28.72"</f>
        <v>28.72</v>
      </c>
      <c r="N73" t="str">
        <f>"25.68"</f>
        <v>25.68</v>
      </c>
      <c r="O73" t="str">
        <f>"NPOC:25.35mg/L TN:24.26mg/L"</f>
        <v>NPOC:25.35mg/L TN:24.26mg/L</v>
      </c>
      <c r="P73">
        <v>1</v>
      </c>
      <c r="Q73" t="str">
        <f>"80"</f>
        <v>80</v>
      </c>
    </row>
    <row r="74" spans="1:17" x14ac:dyDescent="0.2">
      <c r="A74" t="str">
        <f>"Unknown"</f>
        <v>Unknown</v>
      </c>
      <c r="B74" t="str">
        <f>"NPOC/TN"</f>
        <v>NPOC/TN</v>
      </c>
      <c r="C74" t="str">
        <f>"25ppm"</f>
        <v>25ppm</v>
      </c>
      <c r="D74" t="str">
        <f>"25ppm"</f>
        <v>25ppm</v>
      </c>
      <c r="E74" t="str">
        <f>"C:\TOC3201\Methods\Itamar\acid_sample.met"</f>
        <v>C:\TOC3201\Methods\Itamar\acid_sample.met</v>
      </c>
      <c r="F74" t="str">
        <f>"C:\TOC3201\CalCurves\Itamar\N_cal_25ppm_acid_laurel.2019_08_05_13_35_26.cal"</f>
        <v>C:\TOC3201\CalCurves\Itamar\N_cal_25ppm_acid_laurel.2019_08_05_13_35_26.cal</v>
      </c>
      <c r="G74">
        <v>1</v>
      </c>
      <c r="H74" t="str">
        <f>""</f>
        <v/>
      </c>
      <c r="I74" t="str">
        <f>"8/5/2019 3:49:09 PM"</f>
        <v>8/5/2019 3:49:09 PM</v>
      </c>
      <c r="J74" t="str">
        <f>"1"</f>
        <v>1</v>
      </c>
      <c r="K74" t="str">
        <f>"4"</f>
        <v>4</v>
      </c>
      <c r="L74" t="str">
        <f>"TN"</f>
        <v>TN</v>
      </c>
      <c r="M74" t="str">
        <f>"27.10"</f>
        <v>27.10</v>
      </c>
      <c r="N74" t="str">
        <f>"24.25"</f>
        <v>24.25</v>
      </c>
      <c r="O74" t="str">
        <f>"NPOC:25.35mg/L TN:24.26mg/L"</f>
        <v>NPOC:25.35mg/L TN:24.26mg/L</v>
      </c>
      <c r="P74">
        <v>0</v>
      </c>
      <c r="Q74" t="str">
        <f>"80"</f>
        <v>80</v>
      </c>
    </row>
    <row r="75" spans="1:17" x14ac:dyDescent="0.2">
      <c r="A75" t="str">
        <f>"Unknown"</f>
        <v>Unknown</v>
      </c>
      <c r="B75" t="str">
        <f>"NPOC/TN"</f>
        <v>NPOC/TN</v>
      </c>
      <c r="C75" t="str">
        <f>"DI"</f>
        <v>DI</v>
      </c>
      <c r="D75" t="str">
        <f>"DI"</f>
        <v>DI</v>
      </c>
      <c r="E75" t="str">
        <f>"C:\TOC3201\Methods\Itamar\acid_sample.met"</f>
        <v>C:\TOC3201\Methods\Itamar\acid_sample.met</v>
      </c>
      <c r="F75" t="str">
        <f>"C:\TOC3201\CalCurves\Itamar\C_cal_100ppm_acid_laurel.2019_08_05_11_33_40.cal"</f>
        <v>C:\TOC3201\CalCurves\Itamar\C_cal_100ppm_acid_laurel.2019_08_05_11_33_40.cal</v>
      </c>
      <c r="G75">
        <v>1</v>
      </c>
      <c r="H75" t="str">
        <f>""</f>
        <v/>
      </c>
      <c r="I75" t="str">
        <f>"8/5/2019 3:58:04 PM"</f>
        <v>8/5/2019 3:58:04 PM</v>
      </c>
      <c r="J75" t="str">
        <f>"1"</f>
        <v>1</v>
      </c>
      <c r="K75" t="str">
        <f>"1"</f>
        <v>1</v>
      </c>
      <c r="L75" t="str">
        <f>"NPOC"</f>
        <v>NPOC</v>
      </c>
      <c r="M75" t="str">
        <f>"1.133"</f>
        <v>1.133</v>
      </c>
      <c r="N75" t="str">
        <f>"0.6495"</f>
        <v>0.6495</v>
      </c>
      <c r="O75" t="str">
        <f>"NPOC:0.6339mg/L TN:0.08145mg/L"</f>
        <v>NPOC:0.6339mg/L TN:0.08145mg/L</v>
      </c>
      <c r="P75">
        <v>0</v>
      </c>
      <c r="Q75" t="str">
        <f>"80"</f>
        <v>80</v>
      </c>
    </row>
    <row r="76" spans="1:17" x14ac:dyDescent="0.2">
      <c r="A76" t="str">
        <f>"Unknown"</f>
        <v>Unknown</v>
      </c>
      <c r="B76" t="str">
        <f>"NPOC/TN"</f>
        <v>NPOC/TN</v>
      </c>
      <c r="C76" t="str">
        <f>"DI"</f>
        <v>DI</v>
      </c>
      <c r="D76" t="str">
        <f>"DI"</f>
        <v>DI</v>
      </c>
      <c r="E76" t="str">
        <f>"C:\TOC3201\Methods\Itamar\acid_sample.met"</f>
        <v>C:\TOC3201\Methods\Itamar\acid_sample.met</v>
      </c>
      <c r="F76" t="str">
        <f>"C:\TOC3201\CalCurves\Itamar\C_cal_100ppm_acid_laurel.2019_08_05_11_33_40.cal"</f>
        <v>C:\TOC3201\CalCurves\Itamar\C_cal_100ppm_acid_laurel.2019_08_05_11_33_40.cal</v>
      </c>
      <c r="G76">
        <v>1</v>
      </c>
      <c r="H76" t="str">
        <f>""</f>
        <v/>
      </c>
      <c r="I76" t="str">
        <f>"8/5/2019 4:00:22 PM"</f>
        <v>8/5/2019 4:00:22 PM</v>
      </c>
      <c r="J76" t="str">
        <f>"1"</f>
        <v>1</v>
      </c>
      <c r="K76" t="str">
        <f>"2"</f>
        <v>2</v>
      </c>
      <c r="L76" t="str">
        <f>"NPOC"</f>
        <v>NPOC</v>
      </c>
      <c r="M76" t="str">
        <f>"0.9677"</f>
        <v>0.9677</v>
      </c>
      <c r="N76" t="str">
        <f>"0.6171"</f>
        <v>0.6171</v>
      </c>
      <c r="O76" t="str">
        <f>"NPOC:0.6339mg/L TN:0.08145mg/L"</f>
        <v>NPOC:0.6339mg/L TN:0.08145mg/L</v>
      </c>
      <c r="P76">
        <v>0</v>
      </c>
      <c r="Q76" t="str">
        <f>"80"</f>
        <v>80</v>
      </c>
    </row>
    <row r="77" spans="1:17" x14ac:dyDescent="0.2">
      <c r="A77" t="str">
        <f>"Unknown"</f>
        <v>Unknown</v>
      </c>
      <c r="B77" t="str">
        <f>"NPOC/TN"</f>
        <v>NPOC/TN</v>
      </c>
      <c r="C77" t="str">
        <f>"DI"</f>
        <v>DI</v>
      </c>
      <c r="D77" t="str">
        <f>"DI"</f>
        <v>DI</v>
      </c>
      <c r="E77" t="str">
        <f>"C:\TOC3201\Methods\Itamar\acid_sample.met"</f>
        <v>C:\TOC3201\Methods\Itamar\acid_sample.met</v>
      </c>
      <c r="F77" t="str">
        <f>"C:\TOC3201\CalCurves\Itamar\C_cal_100ppm_acid_laurel.2019_08_05_11_33_40.cal"</f>
        <v>C:\TOC3201\CalCurves\Itamar\C_cal_100ppm_acid_laurel.2019_08_05_11_33_40.cal</v>
      </c>
      <c r="G77">
        <v>1</v>
      </c>
      <c r="H77" t="str">
        <f>""</f>
        <v/>
      </c>
      <c r="I77" t="str">
        <f>"8/5/2019 4:02:37 PM"</f>
        <v>8/5/2019 4:02:37 PM</v>
      </c>
      <c r="J77" t="str">
        <f>"1"</f>
        <v>1</v>
      </c>
      <c r="K77" t="str">
        <f>"3"</f>
        <v>3</v>
      </c>
      <c r="L77" t="str">
        <f>"NPOC"</f>
        <v>NPOC</v>
      </c>
      <c r="M77" t="str">
        <f>"1.059"</f>
        <v>1.059</v>
      </c>
      <c r="N77" t="str">
        <f>"0.6350"</f>
        <v>0.6350</v>
      </c>
      <c r="O77" t="str">
        <f>"NPOC:0.6339mg/L TN:0.08145mg/L"</f>
        <v>NPOC:0.6339mg/L TN:0.08145mg/L</v>
      </c>
      <c r="P77">
        <v>0</v>
      </c>
      <c r="Q77" t="str">
        <f>"80"</f>
        <v>80</v>
      </c>
    </row>
    <row r="78" spans="1:17" x14ac:dyDescent="0.2">
      <c r="A78" t="str">
        <f>"Unknown"</f>
        <v>Unknown</v>
      </c>
      <c r="B78" t="str">
        <f>"NPOC/TN"</f>
        <v>NPOC/TN</v>
      </c>
      <c r="C78" t="str">
        <f>"DI"</f>
        <v>DI</v>
      </c>
      <c r="D78" t="str">
        <f>"DI"</f>
        <v>DI</v>
      </c>
      <c r="E78" t="str">
        <f>"C:\TOC3201\Methods\Itamar\acid_sample.met"</f>
        <v>C:\TOC3201\Methods\Itamar\acid_sample.met</v>
      </c>
      <c r="F78" t="str">
        <f>"C:\TOC3201\CalCurves\Itamar\N_cal_25ppm_acid_laurel.2019_08_05_13_35_26.cal"</f>
        <v>C:\TOC3201\CalCurves\Itamar\N_cal_25ppm_acid_laurel.2019_08_05_13_35_26.cal</v>
      </c>
      <c r="G78">
        <v>1</v>
      </c>
      <c r="H78" t="str">
        <f>""</f>
        <v/>
      </c>
      <c r="I78" t="str">
        <f>"8/5/2019 3:58:04 PM"</f>
        <v>8/5/2019 3:58:04 PM</v>
      </c>
      <c r="J78" t="str">
        <f>"1"</f>
        <v>1</v>
      </c>
      <c r="K78" t="str">
        <f>"1"</f>
        <v>1</v>
      </c>
      <c r="L78" t="str">
        <f>"TN"</f>
        <v>TN</v>
      </c>
      <c r="M78" t="str">
        <f>"0.000"</f>
        <v>0.000</v>
      </c>
      <c r="N78" t="str">
        <f>"0.08145"</f>
        <v>0.08145</v>
      </c>
      <c r="O78" t="str">
        <f>"NPOC:0.6339mg/L TN:0.08145mg/L"</f>
        <v>NPOC:0.6339mg/L TN:0.08145mg/L</v>
      </c>
      <c r="P78">
        <v>0</v>
      </c>
      <c r="Q78" t="str">
        <f>"80"</f>
        <v>80</v>
      </c>
    </row>
    <row r="79" spans="1:17" x14ac:dyDescent="0.2">
      <c r="A79" t="str">
        <f>"Unknown"</f>
        <v>Unknown</v>
      </c>
      <c r="B79" t="str">
        <f>"NPOC/TN"</f>
        <v>NPOC/TN</v>
      </c>
      <c r="C79" t="str">
        <f>"DI"</f>
        <v>DI</v>
      </c>
      <c r="D79" t="str">
        <f>"DI"</f>
        <v>DI</v>
      </c>
      <c r="E79" t="str">
        <f>"C:\TOC3201\Methods\Itamar\acid_sample.met"</f>
        <v>C:\TOC3201\Methods\Itamar\acid_sample.met</v>
      </c>
      <c r="F79" t="str">
        <f>"C:\TOC3201\CalCurves\Itamar\N_cal_25ppm_acid_laurel.2019_08_05_13_35_26.cal"</f>
        <v>C:\TOC3201\CalCurves\Itamar\N_cal_25ppm_acid_laurel.2019_08_05_13_35_26.cal</v>
      </c>
      <c r="G79">
        <v>1</v>
      </c>
      <c r="H79" t="str">
        <f>""</f>
        <v/>
      </c>
      <c r="I79" t="str">
        <f>"8/5/2019 4:00:22 PM"</f>
        <v>8/5/2019 4:00:22 PM</v>
      </c>
      <c r="J79" t="str">
        <f>"1"</f>
        <v>1</v>
      </c>
      <c r="K79" t="str">
        <f>"2"</f>
        <v>2</v>
      </c>
      <c r="L79" t="str">
        <f>"TN"</f>
        <v>TN</v>
      </c>
      <c r="M79" t="str">
        <f>"0.000"</f>
        <v>0.000</v>
      </c>
      <c r="N79" t="str">
        <f>"0.08145"</f>
        <v>0.08145</v>
      </c>
      <c r="O79" t="str">
        <f>"NPOC:0.6339mg/L TN:0.08145mg/L"</f>
        <v>NPOC:0.6339mg/L TN:0.08145mg/L</v>
      </c>
      <c r="P79">
        <v>0</v>
      </c>
      <c r="Q79" t="str">
        <f>"80"</f>
        <v>80</v>
      </c>
    </row>
    <row r="80" spans="1:17" x14ac:dyDescent="0.2">
      <c r="A80" t="str">
        <f>"Unknown"</f>
        <v>Unknown</v>
      </c>
      <c r="B80" t="str">
        <f>"NPOC/TN"</f>
        <v>NPOC/TN</v>
      </c>
      <c r="C80" t="str">
        <f>"DI"</f>
        <v>DI</v>
      </c>
      <c r="D80" t="str">
        <f>"DI"</f>
        <v>DI</v>
      </c>
      <c r="E80" t="str">
        <f>"C:\TOC3201\Methods\Itamar\acid_sample.met"</f>
        <v>C:\TOC3201\Methods\Itamar\acid_sample.met</v>
      </c>
      <c r="F80" t="str">
        <f>"C:\TOC3201\CalCurves\Itamar\N_cal_25ppm_acid_laurel.2019_08_05_13_35_26.cal"</f>
        <v>C:\TOC3201\CalCurves\Itamar\N_cal_25ppm_acid_laurel.2019_08_05_13_35_26.cal</v>
      </c>
      <c r="G80">
        <v>1</v>
      </c>
      <c r="H80" t="str">
        <f>""</f>
        <v/>
      </c>
      <c r="I80" t="str">
        <f>"8/5/2019 4:02:37 PM"</f>
        <v>8/5/2019 4:02:37 PM</v>
      </c>
      <c r="J80" t="str">
        <f>"1"</f>
        <v>1</v>
      </c>
      <c r="K80" t="str">
        <f>"3"</f>
        <v>3</v>
      </c>
      <c r="L80" t="str">
        <f>"TN"</f>
        <v>TN</v>
      </c>
      <c r="M80" t="str">
        <f>"0.000"</f>
        <v>0.000</v>
      </c>
      <c r="N80" t="str">
        <f>"0.08145"</f>
        <v>0.08145</v>
      </c>
      <c r="O80" t="str">
        <f>"NPOC:0.6339mg/L TN:0.08145mg/L"</f>
        <v>NPOC:0.6339mg/L TN:0.08145mg/L</v>
      </c>
      <c r="P80">
        <v>0</v>
      </c>
      <c r="Q80" t="str">
        <f>"80"</f>
        <v>80</v>
      </c>
    </row>
    <row r="81" spans="1:17" x14ac:dyDescent="0.2">
      <c r="A81" t="str">
        <f>"Unknown"</f>
        <v>Unknown</v>
      </c>
      <c r="B81" t="str">
        <f>"NPOC/TN"</f>
        <v>NPOC/TN</v>
      </c>
      <c r="C81" t="str">
        <f>"1037"</f>
        <v>1037</v>
      </c>
      <c r="D81" t="str">
        <f>"DI"</f>
        <v>DI</v>
      </c>
      <c r="E81" t="str">
        <f>"C:\TOC3201\Methods\Itamar\acid_sample.met"</f>
        <v>C:\TOC3201\Methods\Itamar\acid_sample.met</v>
      </c>
      <c r="F81" t="str">
        <f>"C:\TOC3201\CalCurves\Itamar\C_cal_100ppm_acid_laurel.2019_08_05_11_33_40.cal"</f>
        <v>C:\TOC3201\CalCurves\Itamar\C_cal_100ppm_acid_laurel.2019_08_05_11_33_40.cal</v>
      </c>
      <c r="G81">
        <v>1</v>
      </c>
      <c r="H81" t="str">
        <f>""</f>
        <v/>
      </c>
      <c r="I81" t="str">
        <f>"8/5/2019 4:12:10 PM"</f>
        <v>8/5/2019 4:12:10 PM</v>
      </c>
      <c r="J81" t="str">
        <f>"1"</f>
        <v>1</v>
      </c>
      <c r="K81" t="str">
        <f>"1"</f>
        <v>1</v>
      </c>
      <c r="L81" t="str">
        <f>"NPOC"</f>
        <v>NPOC</v>
      </c>
      <c r="M81" t="str">
        <f>"22.77"</f>
        <v>22.77</v>
      </c>
      <c r="N81" t="str">
        <f>"4.901"</f>
        <v>4.901</v>
      </c>
      <c r="O81" t="str">
        <f>"NPOC:4.931mg/L TN:0.7492mg/L"</f>
        <v>NPOC:4.931mg/L TN:0.7492mg/L</v>
      </c>
      <c r="P81">
        <v>0</v>
      </c>
      <c r="Q81" t="str">
        <f>"80"</f>
        <v>80</v>
      </c>
    </row>
    <row r="82" spans="1:17" x14ac:dyDescent="0.2">
      <c r="A82" t="str">
        <f>"Unknown"</f>
        <v>Unknown</v>
      </c>
      <c r="B82" t="str">
        <f>"NPOC/TN"</f>
        <v>NPOC/TN</v>
      </c>
      <c r="C82" t="str">
        <f>"1037"</f>
        <v>1037</v>
      </c>
      <c r="D82" t="str">
        <f>"DI"</f>
        <v>DI</v>
      </c>
      <c r="E82" t="str">
        <f>"C:\TOC3201\Methods\Itamar\acid_sample.met"</f>
        <v>C:\TOC3201\Methods\Itamar\acid_sample.met</v>
      </c>
      <c r="F82" t="str">
        <f>"C:\TOC3201\CalCurves\Itamar\C_cal_100ppm_acid_laurel.2019_08_05_11_33_40.cal"</f>
        <v>C:\TOC3201\CalCurves\Itamar\C_cal_100ppm_acid_laurel.2019_08_05_11_33_40.cal</v>
      </c>
      <c r="G82">
        <v>1</v>
      </c>
      <c r="H82" t="str">
        <f>""</f>
        <v/>
      </c>
      <c r="I82" t="str">
        <f>"8/5/2019 4:15:10 PM"</f>
        <v>8/5/2019 4:15:10 PM</v>
      </c>
      <c r="J82" t="str">
        <f>"1"</f>
        <v>1</v>
      </c>
      <c r="K82" t="str">
        <f>"2"</f>
        <v>2</v>
      </c>
      <c r="L82" t="str">
        <f>"NPOC"</f>
        <v>NPOC</v>
      </c>
      <c r="M82" t="str">
        <f>"22.65"</f>
        <v>22.65</v>
      </c>
      <c r="N82" t="str">
        <f>"4.877"</f>
        <v>4.877</v>
      </c>
      <c r="O82" t="str">
        <f>"NPOC:4.931mg/L TN:0.7492mg/L"</f>
        <v>NPOC:4.931mg/L TN:0.7492mg/L</v>
      </c>
      <c r="P82">
        <v>0</v>
      </c>
      <c r="Q82" t="str">
        <f>"80"</f>
        <v>80</v>
      </c>
    </row>
    <row r="83" spans="1:17" x14ac:dyDescent="0.2">
      <c r="A83" t="str">
        <f>"Unknown"</f>
        <v>Unknown</v>
      </c>
      <c r="B83" t="str">
        <f>"NPOC/TN"</f>
        <v>NPOC/TN</v>
      </c>
      <c r="C83" t="str">
        <f>"1037"</f>
        <v>1037</v>
      </c>
      <c r="D83" t="str">
        <f>"DI"</f>
        <v>DI</v>
      </c>
      <c r="E83" t="str">
        <f>"C:\TOC3201\Methods\Itamar\acid_sample.met"</f>
        <v>C:\TOC3201\Methods\Itamar\acid_sample.met</v>
      </c>
      <c r="F83" t="str">
        <f>"C:\TOC3201\CalCurves\Itamar\C_cal_100ppm_acid_laurel.2019_08_05_11_33_40.cal"</f>
        <v>C:\TOC3201\CalCurves\Itamar\C_cal_100ppm_acid_laurel.2019_08_05_11_33_40.cal</v>
      </c>
      <c r="G83">
        <v>1</v>
      </c>
      <c r="H83" t="str">
        <f>""</f>
        <v/>
      </c>
      <c r="I83" t="str">
        <f>"8/5/2019 4:18:05 PM"</f>
        <v>8/5/2019 4:18:05 PM</v>
      </c>
      <c r="J83" t="str">
        <f>"1"</f>
        <v>1</v>
      </c>
      <c r="K83" t="str">
        <f>"3"</f>
        <v>3</v>
      </c>
      <c r="L83" t="str">
        <f>"NPOC"</f>
        <v>NPOC</v>
      </c>
      <c r="M83" t="str">
        <f>"23.35"</f>
        <v>23.35</v>
      </c>
      <c r="N83" t="str">
        <f>"5.015"</f>
        <v>5.015</v>
      </c>
      <c r="O83" t="str">
        <f>"NPOC:4.931mg/L TN:0.7492mg/L"</f>
        <v>NPOC:4.931mg/L TN:0.7492mg/L</v>
      </c>
      <c r="P83">
        <v>0</v>
      </c>
      <c r="Q83" t="str">
        <f>"80"</f>
        <v>80</v>
      </c>
    </row>
    <row r="84" spans="1:17" x14ac:dyDescent="0.2">
      <c r="A84" t="str">
        <f>"Unknown"</f>
        <v>Unknown</v>
      </c>
      <c r="B84" t="str">
        <f>"NPOC/TN"</f>
        <v>NPOC/TN</v>
      </c>
      <c r="C84" t="str">
        <f>"1037"</f>
        <v>1037</v>
      </c>
      <c r="D84" t="str">
        <f>"DI"</f>
        <v>DI</v>
      </c>
      <c r="E84" t="str">
        <f>"C:\TOC3201\Methods\Itamar\acid_sample.met"</f>
        <v>C:\TOC3201\Methods\Itamar\acid_sample.met</v>
      </c>
      <c r="F84" t="str">
        <f>"C:\TOC3201\CalCurves\Itamar\N_cal_25ppm_acid_laurel.2019_08_05_13_35_26.cal"</f>
        <v>C:\TOC3201\CalCurves\Itamar\N_cal_25ppm_acid_laurel.2019_08_05_13_35_26.cal</v>
      </c>
      <c r="G84">
        <v>1</v>
      </c>
      <c r="H84" t="str">
        <f>""</f>
        <v/>
      </c>
      <c r="I84" t="str">
        <f>"8/5/2019 4:12:10 PM"</f>
        <v>8/5/2019 4:12:10 PM</v>
      </c>
      <c r="J84" t="str">
        <f>"1"</f>
        <v>1</v>
      </c>
      <c r="K84" t="str">
        <f>"1"</f>
        <v>1</v>
      </c>
      <c r="L84" t="str">
        <f>"TN"</f>
        <v>TN</v>
      </c>
      <c r="M84" t="str">
        <f>"2.835"</f>
        <v>2.835</v>
      </c>
      <c r="N84" t="str">
        <f>"0.7072"</f>
        <v>0.7072</v>
      </c>
      <c r="O84" t="str">
        <f>"NPOC:4.931mg/L TN:0.7492mg/L"</f>
        <v>NPOC:4.931mg/L TN:0.7492mg/L</v>
      </c>
      <c r="P84">
        <v>1</v>
      </c>
      <c r="Q84" t="str">
        <f>"80"</f>
        <v>80</v>
      </c>
    </row>
    <row r="85" spans="1:17" x14ac:dyDescent="0.2">
      <c r="A85" t="str">
        <f>"Unknown"</f>
        <v>Unknown</v>
      </c>
      <c r="B85" t="str">
        <f>"NPOC/TN"</f>
        <v>NPOC/TN</v>
      </c>
      <c r="C85" t="str">
        <f>"1037"</f>
        <v>1037</v>
      </c>
      <c r="D85" t="str">
        <f>"DI"</f>
        <v>DI</v>
      </c>
      <c r="E85" t="str">
        <f>"C:\TOC3201\Methods\Itamar\acid_sample.met"</f>
        <v>C:\TOC3201\Methods\Itamar\acid_sample.met</v>
      </c>
      <c r="F85" t="str">
        <f>"C:\TOC3201\CalCurves\Itamar\N_cal_25ppm_acid_laurel.2019_08_05_13_35_26.cal"</f>
        <v>C:\TOC3201\CalCurves\Itamar\N_cal_25ppm_acid_laurel.2019_08_05_13_35_26.cal</v>
      </c>
      <c r="G85">
        <v>1</v>
      </c>
      <c r="H85" t="str">
        <f>""</f>
        <v/>
      </c>
      <c r="I85" t="str">
        <f>"8/5/2019 4:15:10 PM"</f>
        <v>8/5/2019 4:15:10 PM</v>
      </c>
      <c r="J85" t="str">
        <f>"1"</f>
        <v>1</v>
      </c>
      <c r="K85" t="str">
        <f>"2"</f>
        <v>2</v>
      </c>
      <c r="L85" t="str">
        <f>"TN"</f>
        <v>TN</v>
      </c>
      <c r="M85" t="str">
        <f>"2.930"</f>
        <v>2.930</v>
      </c>
      <c r="N85" t="str">
        <f>"0.7282"</f>
        <v>0.7282</v>
      </c>
      <c r="O85" t="str">
        <f>"NPOC:4.931mg/L TN:0.7492mg/L"</f>
        <v>NPOC:4.931mg/L TN:0.7492mg/L</v>
      </c>
      <c r="P85">
        <v>0</v>
      </c>
      <c r="Q85" t="str">
        <f>"80"</f>
        <v>80</v>
      </c>
    </row>
    <row r="86" spans="1:17" x14ac:dyDescent="0.2">
      <c r="A86" t="str">
        <f>"Unknown"</f>
        <v>Unknown</v>
      </c>
      <c r="B86" t="str">
        <f>"NPOC/TN"</f>
        <v>NPOC/TN</v>
      </c>
      <c r="C86" t="str">
        <f>"1037"</f>
        <v>1037</v>
      </c>
      <c r="D86" t="str">
        <f>"DI"</f>
        <v>DI</v>
      </c>
      <c r="E86" t="str">
        <f>"C:\TOC3201\Methods\Itamar\acid_sample.met"</f>
        <v>C:\TOC3201\Methods\Itamar\acid_sample.met</v>
      </c>
      <c r="F86" t="str">
        <f>"C:\TOC3201\CalCurves\Itamar\N_cal_25ppm_acid_laurel.2019_08_05_13_35_26.cal"</f>
        <v>C:\TOC3201\CalCurves\Itamar\N_cal_25ppm_acid_laurel.2019_08_05_13_35_26.cal</v>
      </c>
      <c r="G86">
        <v>1</v>
      </c>
      <c r="H86" t="str">
        <f>""</f>
        <v/>
      </c>
      <c r="I86" t="str">
        <f>"8/5/2019 4:18:05 PM"</f>
        <v>8/5/2019 4:18:05 PM</v>
      </c>
      <c r="J86" t="str">
        <f>"1"</f>
        <v>1</v>
      </c>
      <c r="K86" t="str">
        <f>"3"</f>
        <v>3</v>
      </c>
      <c r="L86" t="str">
        <f>"TN"</f>
        <v>TN</v>
      </c>
      <c r="M86" t="str">
        <f>"3.061"</f>
        <v>3.061</v>
      </c>
      <c r="N86" t="str">
        <f>"0.7571"</f>
        <v>0.7571</v>
      </c>
      <c r="O86" t="str">
        <f>"NPOC:4.931mg/L TN:0.7492mg/L"</f>
        <v>NPOC:4.931mg/L TN:0.7492mg/L</v>
      </c>
      <c r="P86">
        <v>0</v>
      </c>
      <c r="Q86" t="str">
        <f>"80"</f>
        <v>80</v>
      </c>
    </row>
    <row r="87" spans="1:17" x14ac:dyDescent="0.2">
      <c r="A87" t="str">
        <f>"Unknown"</f>
        <v>Unknown</v>
      </c>
      <c r="B87" t="str">
        <f>"NPOC/TN"</f>
        <v>NPOC/TN</v>
      </c>
      <c r="C87" t="str">
        <f>"1037"</f>
        <v>1037</v>
      </c>
      <c r="D87" t="str">
        <f>"DI"</f>
        <v>DI</v>
      </c>
      <c r="E87" t="str">
        <f>"C:\TOC3201\Methods\Itamar\acid_sample.met"</f>
        <v>C:\TOC3201\Methods\Itamar\acid_sample.met</v>
      </c>
      <c r="F87" t="str">
        <f>"C:\TOC3201\CalCurves\Itamar\N_cal_25ppm_acid_laurel.2019_08_05_13_35_26.cal"</f>
        <v>C:\TOC3201\CalCurves\Itamar\N_cal_25ppm_acid_laurel.2019_08_05_13_35_26.cal</v>
      </c>
      <c r="G87">
        <v>1</v>
      </c>
      <c r="H87" t="str">
        <f>""</f>
        <v/>
      </c>
      <c r="I87" t="str">
        <f>"8/5/2019 4:20:54 PM"</f>
        <v>8/5/2019 4:20:54 PM</v>
      </c>
      <c r="J87" t="str">
        <f>"1"</f>
        <v>1</v>
      </c>
      <c r="K87" t="str">
        <f>"4"</f>
        <v>4</v>
      </c>
      <c r="L87" t="str">
        <f>"TN"</f>
        <v>TN</v>
      </c>
      <c r="M87" t="str">
        <f>"3.085"</f>
        <v>3.085</v>
      </c>
      <c r="N87" t="str">
        <f>"0.7624"</f>
        <v>0.7624</v>
      </c>
      <c r="O87" t="str">
        <f>"NPOC:4.931mg/L TN:0.7492mg/L"</f>
        <v>NPOC:4.931mg/L TN:0.7492mg/L</v>
      </c>
      <c r="P87">
        <v>0</v>
      </c>
      <c r="Q87" t="str">
        <f>"80"</f>
        <v>80</v>
      </c>
    </row>
    <row r="88" spans="1:17" x14ac:dyDescent="0.2">
      <c r="A88" t="str">
        <f>"Unknown"</f>
        <v>Unknown</v>
      </c>
      <c r="B88" t="str">
        <f>"NPOC/TN"</f>
        <v>NPOC/TN</v>
      </c>
      <c r="C88" t="str">
        <f>"1039"</f>
        <v>1039</v>
      </c>
      <c r="D88" t="str">
        <f>"DI"</f>
        <v>DI</v>
      </c>
      <c r="E88" t="str">
        <f>"C:\TOC3201\Methods\Itamar\acid_sample.met"</f>
        <v>C:\TOC3201\Methods\Itamar\acid_sample.met</v>
      </c>
      <c r="F88" t="str">
        <f>"C:\TOC3201\CalCurves\Itamar\C_cal_100ppm_acid_laurel.2019_08_05_11_33_40.cal"</f>
        <v>C:\TOC3201\CalCurves\Itamar\C_cal_100ppm_acid_laurel.2019_08_05_11_33_40.cal</v>
      </c>
      <c r="G88">
        <v>1</v>
      </c>
      <c r="H88" t="str">
        <f>""</f>
        <v/>
      </c>
      <c r="I88" t="str">
        <f>"8/5/2019 4:30:22 PM"</f>
        <v>8/5/2019 4:30:22 PM</v>
      </c>
      <c r="J88" t="str">
        <f>"1"</f>
        <v>1</v>
      </c>
      <c r="K88" t="str">
        <f>"1"</f>
        <v>1</v>
      </c>
      <c r="L88" t="str">
        <f>"NPOC"</f>
        <v>NPOC</v>
      </c>
      <c r="M88" t="str">
        <f>"19.90"</f>
        <v>19.90</v>
      </c>
      <c r="N88" t="str">
        <f>"4.337"</f>
        <v>4.337</v>
      </c>
      <c r="O88" t="str">
        <f>"NPOC:4.361mg/L TN:0.3804mg/L"</f>
        <v>NPOC:4.361mg/L TN:0.3804mg/L</v>
      </c>
      <c r="P88">
        <v>0</v>
      </c>
      <c r="Q88" t="str">
        <f>"80"</f>
        <v>80</v>
      </c>
    </row>
    <row r="89" spans="1:17" x14ac:dyDescent="0.2">
      <c r="A89" t="str">
        <f>"Unknown"</f>
        <v>Unknown</v>
      </c>
      <c r="B89" t="str">
        <f>"NPOC/TN"</f>
        <v>NPOC/TN</v>
      </c>
      <c r="C89" t="str">
        <f>"1039"</f>
        <v>1039</v>
      </c>
      <c r="D89" t="str">
        <f>"DI"</f>
        <v>DI</v>
      </c>
      <c r="E89" t="str">
        <f>"C:\TOC3201\Methods\Itamar\acid_sample.met"</f>
        <v>C:\TOC3201\Methods\Itamar\acid_sample.met</v>
      </c>
      <c r="F89" t="str">
        <f>"C:\TOC3201\CalCurves\Itamar\C_cal_100ppm_acid_laurel.2019_08_05_11_33_40.cal"</f>
        <v>C:\TOC3201\CalCurves\Itamar\C_cal_100ppm_acid_laurel.2019_08_05_11_33_40.cal</v>
      </c>
      <c r="G89">
        <v>1</v>
      </c>
      <c r="H89" t="str">
        <f>""</f>
        <v/>
      </c>
      <c r="I89" t="str">
        <f>"8/5/2019 4:33:17 PM"</f>
        <v>8/5/2019 4:33:17 PM</v>
      </c>
      <c r="J89" t="str">
        <f>"1"</f>
        <v>1</v>
      </c>
      <c r="K89" t="str">
        <f>"2"</f>
        <v>2</v>
      </c>
      <c r="L89" t="str">
        <f>"NPOC"</f>
        <v>NPOC</v>
      </c>
      <c r="M89" t="str">
        <f>"19.79"</f>
        <v>19.79</v>
      </c>
      <c r="N89" t="str">
        <f>"4.315"</f>
        <v>4.315</v>
      </c>
      <c r="O89" t="str">
        <f>"NPOC:4.361mg/L TN:0.3804mg/L"</f>
        <v>NPOC:4.361mg/L TN:0.3804mg/L</v>
      </c>
      <c r="P89">
        <v>0</v>
      </c>
      <c r="Q89" t="str">
        <f>"80"</f>
        <v>80</v>
      </c>
    </row>
    <row r="90" spans="1:17" x14ac:dyDescent="0.2">
      <c r="A90" t="str">
        <f>"Unknown"</f>
        <v>Unknown</v>
      </c>
      <c r="B90" t="str">
        <f>"NPOC/TN"</f>
        <v>NPOC/TN</v>
      </c>
      <c r="C90" t="str">
        <f>"1039"</f>
        <v>1039</v>
      </c>
      <c r="D90" t="str">
        <f>"DI"</f>
        <v>DI</v>
      </c>
      <c r="E90" t="str">
        <f>"C:\TOC3201\Methods\Itamar\acid_sample.met"</f>
        <v>C:\TOC3201\Methods\Itamar\acid_sample.met</v>
      </c>
      <c r="F90" t="str">
        <f>"C:\TOC3201\CalCurves\Itamar\C_cal_100ppm_acid_laurel.2019_08_05_11_33_40.cal"</f>
        <v>C:\TOC3201\CalCurves\Itamar\C_cal_100ppm_acid_laurel.2019_08_05_11_33_40.cal</v>
      </c>
      <c r="G90">
        <v>1</v>
      </c>
      <c r="H90" t="str">
        <f>""</f>
        <v/>
      </c>
      <c r="I90" t="str">
        <f>"8/5/2019 4:36:14 PM"</f>
        <v>8/5/2019 4:36:14 PM</v>
      </c>
      <c r="J90" t="str">
        <f>"1"</f>
        <v>1</v>
      </c>
      <c r="K90" t="str">
        <f>"3"</f>
        <v>3</v>
      </c>
      <c r="L90" t="str">
        <f>"NPOC"</f>
        <v>NPOC</v>
      </c>
      <c r="M90" t="str">
        <f>"20.55"</f>
        <v>20.55</v>
      </c>
      <c r="N90" t="str">
        <f>"4.465"</f>
        <v>4.465</v>
      </c>
      <c r="O90" t="str">
        <f>"NPOC:4.361mg/L TN:0.3804mg/L"</f>
        <v>NPOC:4.361mg/L TN:0.3804mg/L</v>
      </c>
      <c r="P90">
        <v>1</v>
      </c>
      <c r="Q90" t="str">
        <f>"80"</f>
        <v>80</v>
      </c>
    </row>
    <row r="91" spans="1:17" x14ac:dyDescent="0.2">
      <c r="A91" t="str">
        <f>"Unknown"</f>
        <v>Unknown</v>
      </c>
      <c r="B91" t="str">
        <f>"NPOC/TN"</f>
        <v>NPOC/TN</v>
      </c>
      <c r="C91" t="str">
        <f>"1039"</f>
        <v>1039</v>
      </c>
      <c r="D91" t="str">
        <f>"DI"</f>
        <v>DI</v>
      </c>
      <c r="E91" t="str">
        <f>"C:\TOC3201\Methods\Itamar\acid_sample.met"</f>
        <v>C:\TOC3201\Methods\Itamar\acid_sample.met</v>
      </c>
      <c r="F91" t="str">
        <f>"C:\TOC3201\CalCurves\Itamar\C_cal_100ppm_acid_laurel.2019_08_05_11_33_40.cal"</f>
        <v>C:\TOC3201\CalCurves\Itamar\C_cal_100ppm_acid_laurel.2019_08_05_11_33_40.cal</v>
      </c>
      <c r="G91">
        <v>1</v>
      </c>
      <c r="H91" t="str">
        <f>""</f>
        <v/>
      </c>
      <c r="I91" t="str">
        <f>"8/5/2019 4:39:09 PM"</f>
        <v>8/5/2019 4:39:09 PM</v>
      </c>
      <c r="J91" t="str">
        <f>"1"</f>
        <v>1</v>
      </c>
      <c r="K91" t="str">
        <f>"4"</f>
        <v>4</v>
      </c>
      <c r="L91" t="str">
        <f>"NPOC"</f>
        <v>NPOC</v>
      </c>
      <c r="M91" t="str">
        <f>"20.38"</f>
        <v>20.38</v>
      </c>
      <c r="N91" t="str">
        <f>"4.431"</f>
        <v>4.431</v>
      </c>
      <c r="O91" t="str">
        <f>"NPOC:4.361mg/L TN:0.3804mg/L"</f>
        <v>NPOC:4.361mg/L TN:0.3804mg/L</v>
      </c>
      <c r="P91">
        <v>0</v>
      </c>
      <c r="Q91" t="str">
        <f>"80"</f>
        <v>80</v>
      </c>
    </row>
    <row r="92" spans="1:17" x14ac:dyDescent="0.2">
      <c r="A92" t="str">
        <f>"Unknown"</f>
        <v>Unknown</v>
      </c>
      <c r="B92" t="str">
        <f>"NPOC/TN"</f>
        <v>NPOC/TN</v>
      </c>
      <c r="C92" t="str">
        <f>"1039"</f>
        <v>1039</v>
      </c>
      <c r="D92" t="str">
        <f>"DI"</f>
        <v>DI</v>
      </c>
      <c r="E92" t="str">
        <f>"C:\TOC3201\Methods\Itamar\acid_sample.met"</f>
        <v>C:\TOC3201\Methods\Itamar\acid_sample.met</v>
      </c>
      <c r="F92" t="str">
        <f>"C:\TOC3201\CalCurves\Itamar\N_cal_25ppm_acid_laurel.2019_08_05_13_35_26.cal"</f>
        <v>C:\TOC3201\CalCurves\Itamar\N_cal_25ppm_acid_laurel.2019_08_05_13_35_26.cal</v>
      </c>
      <c r="G92">
        <v>1</v>
      </c>
      <c r="H92" t="str">
        <f>""</f>
        <v/>
      </c>
      <c r="I92" t="str">
        <f>"8/5/2019 4:30:22 PM"</f>
        <v>8/5/2019 4:30:22 PM</v>
      </c>
      <c r="J92" t="str">
        <f>"1"</f>
        <v>1</v>
      </c>
      <c r="K92" t="str">
        <f>"1"</f>
        <v>1</v>
      </c>
      <c r="L92" t="str">
        <f>"TN"</f>
        <v>TN</v>
      </c>
      <c r="M92" t="str">
        <f>"1.292"</f>
        <v>1.292</v>
      </c>
      <c r="N92" t="str">
        <f>"0.3666"</f>
        <v>0.3666</v>
      </c>
      <c r="O92" t="str">
        <f>"NPOC:4.361mg/L TN:0.3804mg/L"</f>
        <v>NPOC:4.361mg/L TN:0.3804mg/L</v>
      </c>
      <c r="P92">
        <v>0</v>
      </c>
      <c r="Q92" t="str">
        <f>"80"</f>
        <v>80</v>
      </c>
    </row>
    <row r="93" spans="1:17" x14ac:dyDescent="0.2">
      <c r="A93" t="str">
        <f>"Unknown"</f>
        <v>Unknown</v>
      </c>
      <c r="B93" t="str">
        <f>"NPOC/TN"</f>
        <v>NPOC/TN</v>
      </c>
      <c r="C93" t="str">
        <f>"1039"</f>
        <v>1039</v>
      </c>
      <c r="D93" t="str">
        <f>"DI"</f>
        <v>DI</v>
      </c>
      <c r="E93" t="str">
        <f>"C:\TOC3201\Methods\Itamar\acid_sample.met"</f>
        <v>C:\TOC3201\Methods\Itamar\acid_sample.met</v>
      </c>
      <c r="F93" t="str">
        <f>"C:\TOC3201\CalCurves\Itamar\N_cal_25ppm_acid_laurel.2019_08_05_13_35_26.cal"</f>
        <v>C:\TOC3201\CalCurves\Itamar\N_cal_25ppm_acid_laurel.2019_08_05_13_35_26.cal</v>
      </c>
      <c r="G93">
        <v>1</v>
      </c>
      <c r="H93" t="str">
        <f>""</f>
        <v/>
      </c>
      <c r="I93" t="str">
        <f>"8/5/2019 4:33:17 PM"</f>
        <v>8/5/2019 4:33:17 PM</v>
      </c>
      <c r="J93" t="str">
        <f>"1"</f>
        <v>1</v>
      </c>
      <c r="K93" t="str">
        <f>"2"</f>
        <v>2</v>
      </c>
      <c r="L93" t="str">
        <f>"TN"</f>
        <v>TN</v>
      </c>
      <c r="M93" t="str">
        <f>"1.386"</f>
        <v>1.386</v>
      </c>
      <c r="N93" t="str">
        <f>"0.3874"</f>
        <v>0.3874</v>
      </c>
      <c r="O93" t="str">
        <f>"NPOC:4.361mg/L TN:0.3804mg/L"</f>
        <v>NPOC:4.361mg/L TN:0.3804mg/L</v>
      </c>
      <c r="P93">
        <v>0</v>
      </c>
      <c r="Q93" t="str">
        <f>"80"</f>
        <v>80</v>
      </c>
    </row>
    <row r="94" spans="1:17" x14ac:dyDescent="0.2">
      <c r="A94" t="str">
        <f>"Unknown"</f>
        <v>Unknown</v>
      </c>
      <c r="B94" t="str">
        <f>"NPOC/TN"</f>
        <v>NPOC/TN</v>
      </c>
      <c r="C94" t="str">
        <f>"1039"</f>
        <v>1039</v>
      </c>
      <c r="D94" t="str">
        <f>"DI"</f>
        <v>DI</v>
      </c>
      <c r="E94" t="str">
        <f>"C:\TOC3201\Methods\Itamar\acid_sample.met"</f>
        <v>C:\TOC3201\Methods\Itamar\acid_sample.met</v>
      </c>
      <c r="F94" t="str">
        <f>"C:\TOC3201\CalCurves\Itamar\N_cal_25ppm_acid_laurel.2019_08_05_13_35_26.cal"</f>
        <v>C:\TOC3201\CalCurves\Itamar\N_cal_25ppm_acid_laurel.2019_08_05_13_35_26.cal</v>
      </c>
      <c r="G94">
        <v>1</v>
      </c>
      <c r="H94" t="str">
        <f>""</f>
        <v/>
      </c>
      <c r="I94" t="str">
        <f>"8/5/2019 4:36:14 PM"</f>
        <v>8/5/2019 4:36:14 PM</v>
      </c>
      <c r="J94" t="str">
        <f>"1"</f>
        <v>1</v>
      </c>
      <c r="K94" t="str">
        <f>"3"</f>
        <v>3</v>
      </c>
      <c r="L94" t="str">
        <f>"TN"</f>
        <v>TN</v>
      </c>
      <c r="M94" t="str">
        <f>"1.385"</f>
        <v>1.385</v>
      </c>
      <c r="N94" t="str">
        <f>"0.3871"</f>
        <v>0.3871</v>
      </c>
      <c r="O94" t="str">
        <f>"NPOC:4.361mg/L TN:0.3804mg/L"</f>
        <v>NPOC:4.361mg/L TN:0.3804mg/L</v>
      </c>
      <c r="P94">
        <v>0</v>
      </c>
      <c r="Q94" t="str">
        <f>"80"</f>
        <v>80</v>
      </c>
    </row>
    <row r="95" spans="1:17" x14ac:dyDescent="0.2">
      <c r="A95" t="str">
        <f>"Unknown"</f>
        <v>Unknown</v>
      </c>
      <c r="B95" t="str">
        <f>"NPOC/TN"</f>
        <v>NPOC/TN</v>
      </c>
      <c r="C95" t="str">
        <f>"1041"</f>
        <v>1041</v>
      </c>
      <c r="D95" t="str">
        <f>"DI"</f>
        <v>DI</v>
      </c>
      <c r="E95" t="str">
        <f>"C:\TOC3201\Methods\Itamar\acid_sample.met"</f>
        <v>C:\TOC3201\Methods\Itamar\acid_sample.met</v>
      </c>
      <c r="F95" t="str">
        <f>"C:\TOC3201\CalCurves\Itamar\C_cal_100ppm_acid_laurel.2019_08_05_11_33_40.cal"</f>
        <v>C:\TOC3201\CalCurves\Itamar\C_cal_100ppm_acid_laurel.2019_08_05_11_33_40.cal</v>
      </c>
      <c r="G95">
        <v>1</v>
      </c>
      <c r="H95" t="str">
        <f>""</f>
        <v/>
      </c>
      <c r="I95" t="str">
        <f>"8/5/2019 4:48:52 PM"</f>
        <v>8/5/2019 4:48:52 PM</v>
      </c>
      <c r="J95" t="str">
        <f>"1"</f>
        <v>1</v>
      </c>
      <c r="K95" t="str">
        <f>"1"</f>
        <v>1</v>
      </c>
      <c r="L95" t="str">
        <f>"NPOC"</f>
        <v>NPOC</v>
      </c>
      <c r="M95" t="str">
        <f>"20.42"</f>
        <v>20.42</v>
      </c>
      <c r="N95" t="str">
        <f>"4.439"</f>
        <v>4.439</v>
      </c>
      <c r="O95" t="str">
        <f>"NPOC:4.465mg/L TN:0.4361mg/L"</f>
        <v>NPOC:4.465mg/L TN:0.4361mg/L</v>
      </c>
      <c r="P95">
        <v>0</v>
      </c>
      <c r="Q95" t="str">
        <f>"80"</f>
        <v>80</v>
      </c>
    </row>
    <row r="96" spans="1:17" x14ac:dyDescent="0.2">
      <c r="A96" t="str">
        <f>"Unknown"</f>
        <v>Unknown</v>
      </c>
      <c r="B96" t="str">
        <f>"NPOC/TN"</f>
        <v>NPOC/TN</v>
      </c>
      <c r="C96" t="str">
        <f>"1041"</f>
        <v>1041</v>
      </c>
      <c r="D96" t="str">
        <f>"DI"</f>
        <v>DI</v>
      </c>
      <c r="E96" t="str">
        <f>"C:\TOC3201\Methods\Itamar\acid_sample.met"</f>
        <v>C:\TOC3201\Methods\Itamar\acid_sample.met</v>
      </c>
      <c r="F96" t="str">
        <f>"C:\TOC3201\CalCurves\Itamar\C_cal_100ppm_acid_laurel.2019_08_05_11_33_40.cal"</f>
        <v>C:\TOC3201\CalCurves\Itamar\C_cal_100ppm_acid_laurel.2019_08_05_11_33_40.cal</v>
      </c>
      <c r="G96">
        <v>1</v>
      </c>
      <c r="H96" t="str">
        <f>""</f>
        <v/>
      </c>
      <c r="I96" t="str">
        <f>"8/5/2019 4:51:41 PM"</f>
        <v>8/5/2019 4:51:41 PM</v>
      </c>
      <c r="J96" t="str">
        <f>"1"</f>
        <v>1</v>
      </c>
      <c r="K96" t="str">
        <f>"2"</f>
        <v>2</v>
      </c>
      <c r="L96" t="str">
        <f>"NPOC"</f>
        <v>NPOC</v>
      </c>
      <c r="M96" t="str">
        <f>"20.45"</f>
        <v>20.45</v>
      </c>
      <c r="N96" t="str">
        <f>"4.445"</f>
        <v>4.445</v>
      </c>
      <c r="O96" t="str">
        <f>"NPOC:4.465mg/L TN:0.4361mg/L"</f>
        <v>NPOC:4.465mg/L TN:0.4361mg/L</v>
      </c>
      <c r="P96">
        <v>0</v>
      </c>
      <c r="Q96" t="str">
        <f>"80"</f>
        <v>80</v>
      </c>
    </row>
    <row r="97" spans="1:17" x14ac:dyDescent="0.2">
      <c r="A97" t="str">
        <f>"Unknown"</f>
        <v>Unknown</v>
      </c>
      <c r="B97" t="str">
        <f>"NPOC/TN"</f>
        <v>NPOC/TN</v>
      </c>
      <c r="C97" t="str">
        <f>"1041"</f>
        <v>1041</v>
      </c>
      <c r="D97" t="str">
        <f>"DI"</f>
        <v>DI</v>
      </c>
      <c r="E97" t="str">
        <f>"C:\TOC3201\Methods\Itamar\acid_sample.met"</f>
        <v>C:\TOC3201\Methods\Itamar\acid_sample.met</v>
      </c>
      <c r="F97" t="str">
        <f>"C:\TOC3201\CalCurves\Itamar\C_cal_100ppm_acid_laurel.2019_08_05_11_33_40.cal"</f>
        <v>C:\TOC3201\CalCurves\Itamar\C_cal_100ppm_acid_laurel.2019_08_05_11_33_40.cal</v>
      </c>
      <c r="G97">
        <v>1</v>
      </c>
      <c r="H97" t="str">
        <f>""</f>
        <v/>
      </c>
      <c r="I97" t="str">
        <f>"8/5/2019 4:54:28 PM"</f>
        <v>8/5/2019 4:54:28 PM</v>
      </c>
      <c r="J97" t="str">
        <f>"1"</f>
        <v>1</v>
      </c>
      <c r="K97" t="str">
        <f>"3"</f>
        <v>3</v>
      </c>
      <c r="L97" t="str">
        <f>"NPOC"</f>
        <v>NPOC</v>
      </c>
      <c r="M97" t="str">
        <f>"20.78"</f>
        <v>20.78</v>
      </c>
      <c r="N97" t="str">
        <f>"4.510"</f>
        <v>4.510</v>
      </c>
      <c r="O97" t="str">
        <f>"NPOC:4.465mg/L TN:0.4361mg/L"</f>
        <v>NPOC:4.465mg/L TN:0.4361mg/L</v>
      </c>
      <c r="P97">
        <v>0</v>
      </c>
      <c r="Q97" t="str">
        <f>"80"</f>
        <v>80</v>
      </c>
    </row>
    <row r="98" spans="1:17" x14ac:dyDescent="0.2">
      <c r="A98" t="str">
        <f>"Unknown"</f>
        <v>Unknown</v>
      </c>
      <c r="B98" t="str">
        <f>"NPOC/TN"</f>
        <v>NPOC/TN</v>
      </c>
      <c r="C98" t="str">
        <f>"1041"</f>
        <v>1041</v>
      </c>
      <c r="D98" t="str">
        <f>"DI"</f>
        <v>DI</v>
      </c>
      <c r="E98" t="str">
        <f>"C:\TOC3201\Methods\Itamar\acid_sample.met"</f>
        <v>C:\TOC3201\Methods\Itamar\acid_sample.met</v>
      </c>
      <c r="F98" t="str">
        <f>"C:\TOC3201\CalCurves\Itamar\N_cal_25ppm_acid_laurel.2019_08_05_13_35_26.cal"</f>
        <v>C:\TOC3201\CalCurves\Itamar\N_cal_25ppm_acid_laurel.2019_08_05_13_35_26.cal</v>
      </c>
      <c r="G98">
        <v>1</v>
      </c>
      <c r="H98" t="str">
        <f>""</f>
        <v/>
      </c>
      <c r="I98" t="str">
        <f>"8/5/2019 4:48:52 PM"</f>
        <v>8/5/2019 4:48:52 PM</v>
      </c>
      <c r="J98" t="str">
        <f>"1"</f>
        <v>1</v>
      </c>
      <c r="K98" t="str">
        <f>"1"</f>
        <v>1</v>
      </c>
      <c r="L98" t="str">
        <f>"TN"</f>
        <v>TN</v>
      </c>
      <c r="M98" t="str">
        <f>"2.293"</f>
        <v>2.293</v>
      </c>
      <c r="N98" t="str">
        <f>"0.5876"</f>
        <v>0.5876</v>
      </c>
      <c r="O98" t="str">
        <f>"NPOC:4.465mg/L TN:0.4361mg/L"</f>
        <v>NPOC:4.465mg/L TN:0.4361mg/L</v>
      </c>
      <c r="P98">
        <v>1</v>
      </c>
      <c r="Q98" t="str">
        <f>"80"</f>
        <v>80</v>
      </c>
    </row>
    <row r="99" spans="1:17" x14ac:dyDescent="0.2">
      <c r="A99" t="str">
        <f>"Unknown"</f>
        <v>Unknown</v>
      </c>
      <c r="B99" t="str">
        <f>"NPOC/TN"</f>
        <v>NPOC/TN</v>
      </c>
      <c r="C99" t="str">
        <f>"1041"</f>
        <v>1041</v>
      </c>
      <c r="D99" t="str">
        <f>"DI"</f>
        <v>DI</v>
      </c>
      <c r="E99" t="str">
        <f>"C:\TOC3201\Methods\Itamar\acid_sample.met"</f>
        <v>C:\TOC3201\Methods\Itamar\acid_sample.met</v>
      </c>
      <c r="F99" t="str">
        <f>"C:\TOC3201\CalCurves\Itamar\N_cal_25ppm_acid_laurel.2019_08_05_13_35_26.cal"</f>
        <v>C:\TOC3201\CalCurves\Itamar\N_cal_25ppm_acid_laurel.2019_08_05_13_35_26.cal</v>
      </c>
      <c r="G99">
        <v>1</v>
      </c>
      <c r="H99" t="str">
        <f>""</f>
        <v/>
      </c>
      <c r="I99" t="str">
        <f>"8/5/2019 4:51:41 PM"</f>
        <v>8/5/2019 4:51:41 PM</v>
      </c>
      <c r="J99" t="str">
        <f>"1"</f>
        <v>1</v>
      </c>
      <c r="K99" t="str">
        <f>"2"</f>
        <v>2</v>
      </c>
      <c r="L99" t="str">
        <f>"TN"</f>
        <v>TN</v>
      </c>
      <c r="M99" t="str">
        <f>"1.759"</f>
        <v>1.759</v>
      </c>
      <c r="N99" t="str">
        <f>"0.4697"</f>
        <v>0.4697</v>
      </c>
      <c r="O99" t="str">
        <f>"NPOC:4.465mg/L TN:0.4361mg/L"</f>
        <v>NPOC:4.465mg/L TN:0.4361mg/L</v>
      </c>
      <c r="P99">
        <v>0</v>
      </c>
      <c r="Q99" t="str">
        <f>"80"</f>
        <v>80</v>
      </c>
    </row>
    <row r="100" spans="1:17" x14ac:dyDescent="0.2">
      <c r="A100" t="str">
        <f>"Unknown"</f>
        <v>Unknown</v>
      </c>
      <c r="B100" t="str">
        <f>"NPOC/TN"</f>
        <v>NPOC/TN</v>
      </c>
      <c r="C100" t="str">
        <f>"1041"</f>
        <v>1041</v>
      </c>
      <c r="D100" t="str">
        <f>"DI"</f>
        <v>DI</v>
      </c>
      <c r="E100" t="str">
        <f>"C:\TOC3201\Methods\Itamar\acid_sample.met"</f>
        <v>C:\TOC3201\Methods\Itamar\acid_sample.met</v>
      </c>
      <c r="F100" t="str">
        <f>"C:\TOC3201\CalCurves\Itamar\N_cal_25ppm_acid_laurel.2019_08_05_13_35_26.cal"</f>
        <v>C:\TOC3201\CalCurves\Itamar\N_cal_25ppm_acid_laurel.2019_08_05_13_35_26.cal</v>
      </c>
      <c r="G100">
        <v>1</v>
      </c>
      <c r="H100" t="str">
        <f>""</f>
        <v/>
      </c>
      <c r="I100" t="str">
        <f>"8/5/2019 4:54:28 PM"</f>
        <v>8/5/2019 4:54:28 PM</v>
      </c>
      <c r="J100" t="str">
        <f>"1"</f>
        <v>1</v>
      </c>
      <c r="K100" t="str">
        <f>"3"</f>
        <v>3</v>
      </c>
      <c r="L100" t="str">
        <f>"TN"</f>
        <v>TN</v>
      </c>
      <c r="M100" t="str">
        <f>"1.455"</f>
        <v>1.455</v>
      </c>
      <c r="N100" t="str">
        <f>"0.4026"</f>
        <v>0.4026</v>
      </c>
      <c r="O100" t="str">
        <f>"NPOC:4.465mg/L TN:0.4361mg/L"</f>
        <v>NPOC:4.465mg/L TN:0.4361mg/L</v>
      </c>
      <c r="P100">
        <v>0</v>
      </c>
      <c r="Q100" t="str">
        <f>"80"</f>
        <v>80</v>
      </c>
    </row>
    <row r="101" spans="1:17" x14ac:dyDescent="0.2">
      <c r="A101" t="str">
        <f>"Unknown"</f>
        <v>Unknown</v>
      </c>
      <c r="B101" t="str">
        <f>"NPOC/TN"</f>
        <v>NPOC/TN</v>
      </c>
      <c r="C101" t="str">
        <f>"1041"</f>
        <v>1041</v>
      </c>
      <c r="D101" t="str">
        <f>"DI"</f>
        <v>DI</v>
      </c>
      <c r="E101" t="str">
        <f>"C:\TOC3201\Methods\Itamar\acid_sample.met"</f>
        <v>C:\TOC3201\Methods\Itamar\acid_sample.met</v>
      </c>
      <c r="F101" t="str">
        <f>"C:\TOC3201\CalCurves\Itamar\N_cal_25ppm_acid_laurel.2019_08_05_13_35_26.cal"</f>
        <v>C:\TOC3201\CalCurves\Itamar\N_cal_25ppm_acid_laurel.2019_08_05_13_35_26.cal</v>
      </c>
      <c r="G101">
        <v>1</v>
      </c>
      <c r="H101" t="str">
        <f>""</f>
        <v/>
      </c>
      <c r="I101" t="str">
        <f>"8/5/2019 4:57:28 PM"</f>
        <v>8/5/2019 4:57:28 PM</v>
      </c>
      <c r="J101" t="str">
        <f>"1"</f>
        <v>1</v>
      </c>
      <c r="K101" t="str">
        <f>"4"</f>
        <v>4</v>
      </c>
      <c r="L101" t="str">
        <f>"TN"</f>
        <v>TN</v>
      </c>
      <c r="M101" t="str">
        <f>"2.058"</f>
        <v>2.058</v>
      </c>
      <c r="N101" t="str">
        <f>"0.5357"</f>
        <v>0.5357</v>
      </c>
      <c r="O101" t="str">
        <f>"NPOC:4.465mg/L TN:0.4361mg/L"</f>
        <v>NPOC:4.465mg/L TN:0.4361mg/L</v>
      </c>
      <c r="P101">
        <v>1</v>
      </c>
      <c r="Q101" t="str">
        <f>"80"</f>
        <v>80</v>
      </c>
    </row>
    <row r="102" spans="1:17" x14ac:dyDescent="0.2">
      <c r="A102" t="str">
        <f>"Unknown"</f>
        <v>Unknown</v>
      </c>
      <c r="B102" t="str">
        <f>"NPOC/TN"</f>
        <v>NPOC/TN</v>
      </c>
      <c r="C102" t="str">
        <f>"1041"</f>
        <v>1041</v>
      </c>
      <c r="D102" t="str">
        <f>"DI"</f>
        <v>DI</v>
      </c>
      <c r="E102" t="str">
        <f>"C:\TOC3201\Methods\Itamar\acid_sample.met"</f>
        <v>C:\TOC3201\Methods\Itamar\acid_sample.met</v>
      </c>
      <c r="F102" t="str">
        <f>"C:\TOC3201\CalCurves\Itamar\N_cal_25ppm_acid_laurel.2019_08_05_13_35_26.cal"</f>
        <v>C:\TOC3201\CalCurves\Itamar\N_cal_25ppm_acid_laurel.2019_08_05_13_35_26.cal</v>
      </c>
      <c r="G102">
        <v>1</v>
      </c>
      <c r="H102" t="str">
        <f>""</f>
        <v/>
      </c>
      <c r="I102" t="str">
        <f>"8/5/2019 5:00:04 PM"</f>
        <v>8/5/2019 5:00:04 PM</v>
      </c>
      <c r="J102" t="str">
        <f>"1"</f>
        <v>1</v>
      </c>
      <c r="K102" t="str">
        <f>"5"</f>
        <v>5</v>
      </c>
      <c r="L102" t="str">
        <f>"TN"</f>
        <v>TN</v>
      </c>
      <c r="M102" t="str">
        <f>"1.606"</f>
        <v>1.606</v>
      </c>
      <c r="N102" t="str">
        <f>"0.4359"</f>
        <v>0.4359</v>
      </c>
      <c r="O102" t="str">
        <f>"NPOC:4.465mg/L TN:0.4361mg/L"</f>
        <v>NPOC:4.465mg/L TN:0.4361mg/L</v>
      </c>
      <c r="P102">
        <v>0</v>
      </c>
      <c r="Q102" t="str">
        <f>"80"</f>
        <v>80</v>
      </c>
    </row>
    <row r="103" spans="1:17" x14ac:dyDescent="0.2">
      <c r="A103" t="str">
        <f>"Unknown"</f>
        <v>Unknown</v>
      </c>
      <c r="B103" t="str">
        <f>"NPOC/TN"</f>
        <v>NPOC/TN</v>
      </c>
      <c r="C103" t="str">
        <f>"1043"</f>
        <v>1043</v>
      </c>
      <c r="D103" t="str">
        <f>"DI"</f>
        <v>DI</v>
      </c>
      <c r="E103" t="str">
        <f>"C:\TOC3201\Methods\Itamar\acid_sample.met"</f>
        <v>C:\TOC3201\Methods\Itamar\acid_sample.met</v>
      </c>
      <c r="F103" t="str">
        <f>"C:\TOC3201\CalCurves\Itamar\C_cal_100ppm_acid_laurel.2019_08_05_11_33_40.cal"</f>
        <v>C:\TOC3201\CalCurves\Itamar\C_cal_100ppm_acid_laurel.2019_08_05_11_33_40.cal</v>
      </c>
      <c r="G103">
        <v>1</v>
      </c>
      <c r="H103" t="str">
        <f>""</f>
        <v/>
      </c>
      <c r="I103" t="str">
        <f>"8/5/2019 5:09:31 PM"</f>
        <v>8/5/2019 5:09:31 PM</v>
      </c>
      <c r="J103" t="str">
        <f>"1"</f>
        <v>1</v>
      </c>
      <c r="K103" t="str">
        <f>"1"</f>
        <v>1</v>
      </c>
      <c r="L103" t="str">
        <f>"NPOC"</f>
        <v>NPOC</v>
      </c>
      <c r="M103" t="str">
        <f>"19.03"</f>
        <v>19.03</v>
      </c>
      <c r="N103" t="str">
        <f>"4.166"</f>
        <v>4.166</v>
      </c>
      <c r="O103" t="str">
        <f>"NPOC:4.186mg/L TN:0.4268mg/L"</f>
        <v>NPOC:4.186mg/L TN:0.4268mg/L</v>
      </c>
      <c r="P103">
        <v>0</v>
      </c>
      <c r="Q103" t="str">
        <f>"80"</f>
        <v>80</v>
      </c>
    </row>
    <row r="104" spans="1:17" x14ac:dyDescent="0.2">
      <c r="A104" t="str">
        <f>"Unknown"</f>
        <v>Unknown</v>
      </c>
      <c r="B104" t="str">
        <f>"NPOC/TN"</f>
        <v>NPOC/TN</v>
      </c>
      <c r="C104" t="str">
        <f>"1043"</f>
        <v>1043</v>
      </c>
      <c r="D104" t="str">
        <f>"DI"</f>
        <v>DI</v>
      </c>
      <c r="E104" t="str">
        <f>"C:\TOC3201\Methods\Itamar\acid_sample.met"</f>
        <v>C:\TOC3201\Methods\Itamar\acid_sample.met</v>
      </c>
      <c r="F104" t="str">
        <f>"C:\TOC3201\CalCurves\Itamar\C_cal_100ppm_acid_laurel.2019_08_05_11_33_40.cal"</f>
        <v>C:\TOC3201\CalCurves\Itamar\C_cal_100ppm_acid_laurel.2019_08_05_11_33_40.cal</v>
      </c>
      <c r="G104">
        <v>1</v>
      </c>
      <c r="H104" t="str">
        <f>""</f>
        <v/>
      </c>
      <c r="I104" t="str">
        <f>"8/5/2019 5:12:32 PM"</f>
        <v>8/5/2019 5:12:32 PM</v>
      </c>
      <c r="J104" t="str">
        <f>"1"</f>
        <v>1</v>
      </c>
      <c r="K104" t="str">
        <f>"2"</f>
        <v>2</v>
      </c>
      <c r="L104" t="str">
        <f>"NPOC"</f>
        <v>NPOC</v>
      </c>
      <c r="M104" t="str">
        <f>"19.12"</f>
        <v>19.12</v>
      </c>
      <c r="N104" t="str">
        <f>"4.184"</f>
        <v>4.184</v>
      </c>
      <c r="O104" t="str">
        <f>"NPOC:4.186mg/L TN:0.4268mg/L"</f>
        <v>NPOC:4.186mg/L TN:0.4268mg/L</v>
      </c>
      <c r="P104">
        <v>0</v>
      </c>
      <c r="Q104" t="str">
        <f>"80"</f>
        <v>80</v>
      </c>
    </row>
    <row r="105" spans="1:17" x14ac:dyDescent="0.2">
      <c r="A105" t="str">
        <f>"Unknown"</f>
        <v>Unknown</v>
      </c>
      <c r="B105" t="str">
        <f>"NPOC/TN"</f>
        <v>NPOC/TN</v>
      </c>
      <c r="C105" t="str">
        <f>"1043"</f>
        <v>1043</v>
      </c>
      <c r="D105" t="str">
        <f>"DI"</f>
        <v>DI</v>
      </c>
      <c r="E105" t="str">
        <f>"C:\TOC3201\Methods\Itamar\acid_sample.met"</f>
        <v>C:\TOC3201\Methods\Itamar\acid_sample.met</v>
      </c>
      <c r="F105" t="str">
        <f>"C:\TOC3201\CalCurves\Itamar\C_cal_100ppm_acid_laurel.2019_08_05_11_33_40.cal"</f>
        <v>C:\TOC3201\CalCurves\Itamar\C_cal_100ppm_acid_laurel.2019_08_05_11_33_40.cal</v>
      </c>
      <c r="G105">
        <v>1</v>
      </c>
      <c r="H105" t="str">
        <f>""</f>
        <v/>
      </c>
      <c r="I105" t="str">
        <f>"8/5/2019 5:15:27 PM"</f>
        <v>8/5/2019 5:15:27 PM</v>
      </c>
      <c r="J105" t="str">
        <f>"1"</f>
        <v>1</v>
      </c>
      <c r="K105" t="str">
        <f>"3"</f>
        <v>3</v>
      </c>
      <c r="L105" t="str">
        <f>"NPOC"</f>
        <v>NPOC</v>
      </c>
      <c r="M105" t="str">
        <f>"20.00"</f>
        <v>20.00</v>
      </c>
      <c r="N105" t="str">
        <f>"4.357"</f>
        <v>4.357</v>
      </c>
      <c r="O105" t="str">
        <f>"NPOC:4.186mg/L TN:0.4268mg/L"</f>
        <v>NPOC:4.186mg/L TN:0.4268mg/L</v>
      </c>
      <c r="P105">
        <v>1</v>
      </c>
      <c r="Q105" t="str">
        <f>"80"</f>
        <v>80</v>
      </c>
    </row>
    <row r="106" spans="1:17" x14ac:dyDescent="0.2">
      <c r="A106" t="str">
        <f>"Unknown"</f>
        <v>Unknown</v>
      </c>
      <c r="B106" t="str">
        <f>"NPOC/TN"</f>
        <v>NPOC/TN</v>
      </c>
      <c r="C106" t="str">
        <f>"1043"</f>
        <v>1043</v>
      </c>
      <c r="D106" t="str">
        <f>"DI"</f>
        <v>DI</v>
      </c>
      <c r="E106" t="str">
        <f>"C:\TOC3201\Methods\Itamar\acid_sample.met"</f>
        <v>C:\TOC3201\Methods\Itamar\acid_sample.met</v>
      </c>
      <c r="F106" t="str">
        <f>"C:\TOC3201\CalCurves\Itamar\C_cal_100ppm_acid_laurel.2019_08_05_11_33_40.cal"</f>
        <v>C:\TOC3201\CalCurves\Itamar\C_cal_100ppm_acid_laurel.2019_08_05_11_33_40.cal</v>
      </c>
      <c r="G106">
        <v>1</v>
      </c>
      <c r="H106" t="str">
        <f>""</f>
        <v/>
      </c>
      <c r="I106" t="str">
        <f>"8/5/2019 5:18:23 PM"</f>
        <v>8/5/2019 5:18:23 PM</v>
      </c>
      <c r="J106" t="str">
        <f>"1"</f>
        <v>1</v>
      </c>
      <c r="K106" t="str">
        <f>"4"</f>
        <v>4</v>
      </c>
      <c r="L106" t="str">
        <f>"NPOC"</f>
        <v>NPOC</v>
      </c>
      <c r="M106" t="str">
        <f>"20.24"</f>
        <v>20.24</v>
      </c>
      <c r="N106" t="str">
        <f>"4.404"</f>
        <v>4.404</v>
      </c>
      <c r="O106" t="str">
        <f>"NPOC:4.186mg/L TN:0.4268mg/L"</f>
        <v>NPOC:4.186mg/L TN:0.4268mg/L</v>
      </c>
      <c r="P106">
        <v>1</v>
      </c>
      <c r="Q106" t="str">
        <f>"80"</f>
        <v>80</v>
      </c>
    </row>
    <row r="107" spans="1:17" x14ac:dyDescent="0.2">
      <c r="A107" t="str">
        <f>"Unknown"</f>
        <v>Unknown</v>
      </c>
      <c r="B107" t="str">
        <f>"NPOC/TN"</f>
        <v>NPOC/TN</v>
      </c>
      <c r="C107" t="str">
        <f>"1043"</f>
        <v>1043</v>
      </c>
      <c r="D107" t="str">
        <f>"DI"</f>
        <v>DI</v>
      </c>
      <c r="E107" t="str">
        <f>"C:\TOC3201\Methods\Itamar\acid_sample.met"</f>
        <v>C:\TOC3201\Methods\Itamar\acid_sample.met</v>
      </c>
      <c r="F107" t="str">
        <f>"C:\TOC3201\CalCurves\Itamar\C_cal_100ppm_acid_laurel.2019_08_05_11_33_40.cal"</f>
        <v>C:\TOC3201\CalCurves\Itamar\C_cal_100ppm_acid_laurel.2019_08_05_11_33_40.cal</v>
      </c>
      <c r="G107">
        <v>1</v>
      </c>
      <c r="H107" t="str">
        <f>""</f>
        <v/>
      </c>
      <c r="I107" t="str">
        <f>"8/5/2019 5:21:28 PM"</f>
        <v>8/5/2019 5:21:28 PM</v>
      </c>
      <c r="J107" t="str">
        <f>"1"</f>
        <v>1</v>
      </c>
      <c r="K107" t="str">
        <f>"5"</f>
        <v>5</v>
      </c>
      <c r="L107" t="str">
        <f>"NPOC"</f>
        <v>NPOC</v>
      </c>
      <c r="M107" t="str">
        <f>"19.24"</f>
        <v>19.24</v>
      </c>
      <c r="N107" t="str">
        <f>"4.207"</f>
        <v>4.207</v>
      </c>
      <c r="O107" t="str">
        <f>"NPOC:4.186mg/L TN:0.4268mg/L"</f>
        <v>NPOC:4.186mg/L TN:0.4268mg/L</v>
      </c>
      <c r="P107">
        <v>0</v>
      </c>
      <c r="Q107" t="str">
        <f>"80"</f>
        <v>80</v>
      </c>
    </row>
    <row r="108" spans="1:17" x14ac:dyDescent="0.2">
      <c r="A108" t="str">
        <f>"Unknown"</f>
        <v>Unknown</v>
      </c>
      <c r="B108" t="str">
        <f>"NPOC/TN"</f>
        <v>NPOC/TN</v>
      </c>
      <c r="C108" t="str">
        <f>"1043"</f>
        <v>1043</v>
      </c>
      <c r="D108" t="str">
        <f>"DI"</f>
        <v>DI</v>
      </c>
      <c r="E108" t="str">
        <f>"C:\TOC3201\Methods\Itamar\acid_sample.met"</f>
        <v>C:\TOC3201\Methods\Itamar\acid_sample.met</v>
      </c>
      <c r="F108" t="str">
        <f>"C:\TOC3201\CalCurves\Itamar\N_cal_25ppm_acid_laurel.2019_08_05_13_35_26.cal"</f>
        <v>C:\TOC3201\CalCurves\Itamar\N_cal_25ppm_acid_laurel.2019_08_05_13_35_26.cal</v>
      </c>
      <c r="G108">
        <v>1</v>
      </c>
      <c r="H108" t="str">
        <f>""</f>
        <v/>
      </c>
      <c r="I108" t="str">
        <f>"8/5/2019 5:09:32 PM"</f>
        <v>8/5/2019 5:09:32 PM</v>
      </c>
      <c r="J108" t="str">
        <f>"1"</f>
        <v>1</v>
      </c>
      <c r="K108" t="str">
        <f>"1"</f>
        <v>1</v>
      </c>
      <c r="L108" t="str">
        <f>"TN"</f>
        <v>TN</v>
      </c>
      <c r="M108" t="str">
        <f>"1.036"</f>
        <v>1.036</v>
      </c>
      <c r="N108" t="str">
        <f>"0.3101"</f>
        <v>0.3101</v>
      </c>
      <c r="O108" t="str">
        <f>"NPOC:4.186mg/L TN:0.4268mg/L"</f>
        <v>NPOC:4.186mg/L TN:0.4268mg/L</v>
      </c>
      <c r="P108">
        <v>1</v>
      </c>
      <c r="Q108" t="str">
        <f>"80"</f>
        <v>80</v>
      </c>
    </row>
    <row r="109" spans="1:17" x14ac:dyDescent="0.2">
      <c r="A109" t="str">
        <f>"Unknown"</f>
        <v>Unknown</v>
      </c>
      <c r="B109" t="str">
        <f>"NPOC/TN"</f>
        <v>NPOC/TN</v>
      </c>
      <c r="C109" t="str">
        <f>"1043"</f>
        <v>1043</v>
      </c>
      <c r="D109" t="str">
        <f>"DI"</f>
        <v>DI</v>
      </c>
      <c r="E109" t="str">
        <f>"C:\TOC3201\Methods\Itamar\acid_sample.met"</f>
        <v>C:\TOC3201\Methods\Itamar\acid_sample.met</v>
      </c>
      <c r="F109" t="str">
        <f>"C:\TOC3201\CalCurves\Itamar\N_cal_25ppm_acid_laurel.2019_08_05_13_35_26.cal"</f>
        <v>C:\TOC3201\CalCurves\Itamar\N_cal_25ppm_acid_laurel.2019_08_05_13_35_26.cal</v>
      </c>
      <c r="G109">
        <v>1</v>
      </c>
      <c r="H109" t="str">
        <f>""</f>
        <v/>
      </c>
      <c r="I109" t="str">
        <f>"8/5/2019 5:12:32 PM"</f>
        <v>8/5/2019 5:12:32 PM</v>
      </c>
      <c r="J109" t="str">
        <f>"1"</f>
        <v>1</v>
      </c>
      <c r="K109" t="str">
        <f>"2"</f>
        <v>2</v>
      </c>
      <c r="L109" t="str">
        <f>"TN"</f>
        <v>TN</v>
      </c>
      <c r="M109" t="str">
        <f>"1.565"</f>
        <v>1.565</v>
      </c>
      <c r="N109" t="str">
        <f>"0.4269"</f>
        <v>0.4269</v>
      </c>
      <c r="O109" t="str">
        <f>"NPOC:4.186mg/L TN:0.4268mg/L"</f>
        <v>NPOC:4.186mg/L TN:0.4268mg/L</v>
      </c>
      <c r="P109">
        <v>0</v>
      </c>
      <c r="Q109" t="str">
        <f>"80"</f>
        <v>80</v>
      </c>
    </row>
    <row r="110" spans="1:17" x14ac:dyDescent="0.2">
      <c r="A110" t="str">
        <f>"Unknown"</f>
        <v>Unknown</v>
      </c>
      <c r="B110" t="str">
        <f>"NPOC/TN"</f>
        <v>NPOC/TN</v>
      </c>
      <c r="C110" t="str">
        <f>"1043"</f>
        <v>1043</v>
      </c>
      <c r="D110" t="str">
        <f>"DI"</f>
        <v>DI</v>
      </c>
      <c r="E110" t="str">
        <f>"C:\TOC3201\Methods\Itamar\acid_sample.met"</f>
        <v>C:\TOC3201\Methods\Itamar\acid_sample.met</v>
      </c>
      <c r="F110" t="str">
        <f>"C:\TOC3201\CalCurves\Itamar\N_cal_25ppm_acid_laurel.2019_08_05_13_35_26.cal"</f>
        <v>C:\TOC3201\CalCurves\Itamar\N_cal_25ppm_acid_laurel.2019_08_05_13_35_26.cal</v>
      </c>
      <c r="G110">
        <v>1</v>
      </c>
      <c r="H110" t="str">
        <f>""</f>
        <v/>
      </c>
      <c r="I110" t="str">
        <f>"8/5/2019 5:15:27 PM"</f>
        <v>8/5/2019 5:15:27 PM</v>
      </c>
      <c r="J110" t="str">
        <f>"1"</f>
        <v>1</v>
      </c>
      <c r="K110" t="str">
        <f>"3"</f>
        <v>3</v>
      </c>
      <c r="L110" t="str">
        <f>"TN"</f>
        <v>TN</v>
      </c>
      <c r="M110" t="str">
        <f>"1.587"</f>
        <v>1.587</v>
      </c>
      <c r="N110" t="str">
        <f>"0.4317"</f>
        <v>0.4317</v>
      </c>
      <c r="O110" t="str">
        <f>"NPOC:4.186mg/L TN:0.4268mg/L"</f>
        <v>NPOC:4.186mg/L TN:0.4268mg/L</v>
      </c>
      <c r="P110">
        <v>0</v>
      </c>
      <c r="Q110" t="str">
        <f>"80"</f>
        <v>80</v>
      </c>
    </row>
    <row r="111" spans="1:17" x14ac:dyDescent="0.2">
      <c r="A111" t="str">
        <f>"Unknown"</f>
        <v>Unknown</v>
      </c>
      <c r="B111" t="str">
        <f>"NPOC/TN"</f>
        <v>NPOC/TN</v>
      </c>
      <c r="C111" t="str">
        <f>"1043"</f>
        <v>1043</v>
      </c>
      <c r="D111" t="str">
        <f>"DI"</f>
        <v>DI</v>
      </c>
      <c r="E111" t="str">
        <f>"C:\TOC3201\Methods\Itamar\acid_sample.met"</f>
        <v>C:\TOC3201\Methods\Itamar\acid_sample.met</v>
      </c>
      <c r="F111" t="str">
        <f>"C:\TOC3201\CalCurves\Itamar\N_cal_25ppm_acid_laurel.2019_08_05_13_35_26.cal"</f>
        <v>C:\TOC3201\CalCurves\Itamar\N_cal_25ppm_acid_laurel.2019_08_05_13_35_26.cal</v>
      </c>
      <c r="G111">
        <v>1</v>
      </c>
      <c r="H111" t="str">
        <f>""</f>
        <v/>
      </c>
      <c r="I111" t="str">
        <f>"8/5/2019 5:18:23 PM"</f>
        <v>8/5/2019 5:18:23 PM</v>
      </c>
      <c r="J111" t="str">
        <f>"1"</f>
        <v>1</v>
      </c>
      <c r="K111" t="str">
        <f>"4"</f>
        <v>4</v>
      </c>
      <c r="L111" t="str">
        <f>"TN"</f>
        <v>TN</v>
      </c>
      <c r="M111" t="str">
        <f>"1.542"</f>
        <v>1.542</v>
      </c>
      <c r="N111" t="str">
        <f>"0.4218"</f>
        <v>0.4218</v>
      </c>
      <c r="O111" t="str">
        <f>"NPOC:4.186mg/L TN:0.4268mg/L"</f>
        <v>NPOC:4.186mg/L TN:0.4268mg/L</v>
      </c>
      <c r="P111">
        <v>0</v>
      </c>
      <c r="Q111" t="str">
        <f>"80"</f>
        <v>80</v>
      </c>
    </row>
    <row r="112" spans="1:17" x14ac:dyDescent="0.2">
      <c r="A112" t="str">
        <f>"Unknown"</f>
        <v>Unknown</v>
      </c>
      <c r="B112" t="str">
        <f>"NPOC/TN"</f>
        <v>NPOC/TN</v>
      </c>
      <c r="C112" t="str">
        <f>"1038"</f>
        <v>1038</v>
      </c>
      <c r="D112" t="str">
        <f>"DI"</f>
        <v>DI</v>
      </c>
      <c r="E112" t="str">
        <f>"C:\TOC3201\Methods\Itamar\acid_sample.met"</f>
        <v>C:\TOC3201\Methods\Itamar\acid_sample.met</v>
      </c>
      <c r="F112" t="str">
        <f>"C:\TOC3201\CalCurves\Itamar\C_cal_100ppm_acid_laurel.2019_08_05_11_33_40.cal"</f>
        <v>C:\TOC3201\CalCurves\Itamar\C_cal_100ppm_acid_laurel.2019_08_05_11_33_40.cal</v>
      </c>
      <c r="G112">
        <v>1</v>
      </c>
      <c r="H112" t="str">
        <f>""</f>
        <v/>
      </c>
      <c r="I112" t="str">
        <f>"8/5/2019 5:31:19 PM"</f>
        <v>8/5/2019 5:31:19 PM</v>
      </c>
      <c r="J112" t="str">
        <f>"1"</f>
        <v>1</v>
      </c>
      <c r="K112" t="str">
        <f>"1"</f>
        <v>1</v>
      </c>
      <c r="L112" t="str">
        <f>"NPOC"</f>
        <v>NPOC</v>
      </c>
      <c r="M112" t="str">
        <f>"53.23"</f>
        <v>53.23</v>
      </c>
      <c r="N112" t="str">
        <f>"10.89"</f>
        <v>10.89</v>
      </c>
      <c r="O112" t="str">
        <f>"NPOC:10.86mg/L TN:1.489mg/L"</f>
        <v>NPOC:10.86mg/L TN:1.489mg/L</v>
      </c>
      <c r="P112">
        <v>0</v>
      </c>
      <c r="Q112" t="str">
        <f>"80"</f>
        <v>80</v>
      </c>
    </row>
    <row r="113" spans="1:17" x14ac:dyDescent="0.2">
      <c r="A113" t="str">
        <f>"Unknown"</f>
        <v>Unknown</v>
      </c>
      <c r="B113" t="str">
        <f>"NPOC/TN"</f>
        <v>NPOC/TN</v>
      </c>
      <c r="C113" t="str">
        <f>"1038"</f>
        <v>1038</v>
      </c>
      <c r="D113" t="str">
        <f>"DI"</f>
        <v>DI</v>
      </c>
      <c r="E113" t="str">
        <f>"C:\TOC3201\Methods\Itamar\acid_sample.met"</f>
        <v>C:\TOC3201\Methods\Itamar\acid_sample.met</v>
      </c>
      <c r="F113" t="str">
        <f>"C:\TOC3201\CalCurves\Itamar\C_cal_100ppm_acid_laurel.2019_08_05_11_33_40.cal"</f>
        <v>C:\TOC3201\CalCurves\Itamar\C_cal_100ppm_acid_laurel.2019_08_05_11_33_40.cal</v>
      </c>
      <c r="G113">
        <v>1</v>
      </c>
      <c r="H113" t="str">
        <f>""</f>
        <v/>
      </c>
      <c r="I113" t="str">
        <f>"8/5/2019 5:34:40 PM"</f>
        <v>8/5/2019 5:34:40 PM</v>
      </c>
      <c r="J113" t="str">
        <f>"1"</f>
        <v>1</v>
      </c>
      <c r="K113" t="str">
        <f>"2"</f>
        <v>2</v>
      </c>
      <c r="L113" t="str">
        <f>"NPOC"</f>
        <v>NPOC</v>
      </c>
      <c r="M113" t="str">
        <f>"52.25"</f>
        <v>52.25</v>
      </c>
      <c r="N113" t="str">
        <f>"10.69"</f>
        <v>10.69</v>
      </c>
      <c r="O113" t="str">
        <f>"NPOC:10.86mg/L TN:1.489mg/L"</f>
        <v>NPOC:10.86mg/L TN:1.489mg/L</v>
      </c>
      <c r="P113">
        <v>0</v>
      </c>
      <c r="Q113" t="str">
        <f>"80"</f>
        <v>80</v>
      </c>
    </row>
    <row r="114" spans="1:17" x14ac:dyDescent="0.2">
      <c r="A114" t="str">
        <f>"Unknown"</f>
        <v>Unknown</v>
      </c>
      <c r="B114" t="str">
        <f>"NPOC/TN"</f>
        <v>NPOC/TN</v>
      </c>
      <c r="C114" t="str">
        <f>"1038"</f>
        <v>1038</v>
      </c>
      <c r="D114" t="str">
        <f>"DI"</f>
        <v>DI</v>
      </c>
      <c r="E114" t="str">
        <f>"C:\TOC3201\Methods\Itamar\acid_sample.met"</f>
        <v>C:\TOC3201\Methods\Itamar\acid_sample.met</v>
      </c>
      <c r="F114" t="str">
        <f>"C:\TOC3201\CalCurves\Itamar\C_cal_100ppm_acid_laurel.2019_08_05_11_33_40.cal"</f>
        <v>C:\TOC3201\CalCurves\Itamar\C_cal_100ppm_acid_laurel.2019_08_05_11_33_40.cal</v>
      </c>
      <c r="G114">
        <v>1</v>
      </c>
      <c r="H114" t="str">
        <f>""</f>
        <v/>
      </c>
      <c r="I114" t="str">
        <f>"8/5/2019 5:38:06 PM"</f>
        <v>8/5/2019 5:38:06 PM</v>
      </c>
      <c r="J114" t="str">
        <f>"1"</f>
        <v>1</v>
      </c>
      <c r="K114" t="str">
        <f>"3"</f>
        <v>3</v>
      </c>
      <c r="L114" t="str">
        <f>"NPOC"</f>
        <v>NPOC</v>
      </c>
      <c r="M114" t="str">
        <f>"55.03"</f>
        <v>55.03</v>
      </c>
      <c r="N114" t="str">
        <f>"11.24"</f>
        <v>11.24</v>
      </c>
      <c r="O114" t="str">
        <f>"NPOC:10.86mg/L TN:1.489mg/L"</f>
        <v>NPOC:10.86mg/L TN:1.489mg/L</v>
      </c>
      <c r="P114">
        <v>1</v>
      </c>
      <c r="Q114" t="str">
        <f>"80"</f>
        <v>80</v>
      </c>
    </row>
    <row r="115" spans="1:17" x14ac:dyDescent="0.2">
      <c r="A115" t="str">
        <f>"Unknown"</f>
        <v>Unknown</v>
      </c>
      <c r="B115" t="str">
        <f>"NPOC/TN"</f>
        <v>NPOC/TN</v>
      </c>
      <c r="C115" t="str">
        <f>"1038"</f>
        <v>1038</v>
      </c>
      <c r="D115" t="str">
        <f>"DI"</f>
        <v>DI</v>
      </c>
      <c r="E115" t="str">
        <f>"C:\TOC3201\Methods\Itamar\acid_sample.met"</f>
        <v>C:\TOC3201\Methods\Itamar\acid_sample.met</v>
      </c>
      <c r="F115" t="str">
        <f>"C:\TOC3201\CalCurves\Itamar\C_cal_100ppm_acid_laurel.2019_08_05_11_33_40.cal"</f>
        <v>C:\TOC3201\CalCurves\Itamar\C_cal_100ppm_acid_laurel.2019_08_05_11_33_40.cal</v>
      </c>
      <c r="G115">
        <v>1</v>
      </c>
      <c r="H115" t="str">
        <f>""</f>
        <v/>
      </c>
      <c r="I115" t="str">
        <f>"8/5/2019 5:41:29 PM"</f>
        <v>8/5/2019 5:41:29 PM</v>
      </c>
      <c r="J115" t="str">
        <f>"1"</f>
        <v>1</v>
      </c>
      <c r="K115" t="str">
        <f>"4"</f>
        <v>4</v>
      </c>
      <c r="L115" t="str">
        <f>"NPOC"</f>
        <v>NPOC</v>
      </c>
      <c r="M115" t="str">
        <f>"53.75"</f>
        <v>53.75</v>
      </c>
      <c r="N115" t="str">
        <f>"10.99"</f>
        <v>10.99</v>
      </c>
      <c r="O115" t="str">
        <f>"NPOC:10.86mg/L TN:1.489mg/L"</f>
        <v>NPOC:10.86mg/L TN:1.489mg/L</v>
      </c>
      <c r="P115">
        <v>0</v>
      </c>
      <c r="Q115" t="str">
        <f>"80"</f>
        <v>80</v>
      </c>
    </row>
    <row r="116" spans="1:17" x14ac:dyDescent="0.2">
      <c r="A116" t="str">
        <f>"Unknown"</f>
        <v>Unknown</v>
      </c>
      <c r="B116" t="str">
        <f>"NPOC/TN"</f>
        <v>NPOC/TN</v>
      </c>
      <c r="C116" t="str">
        <f>"1038"</f>
        <v>1038</v>
      </c>
      <c r="D116" t="str">
        <f>"DI"</f>
        <v>DI</v>
      </c>
      <c r="E116" t="str">
        <f>"C:\TOC3201\Methods\Itamar\acid_sample.met"</f>
        <v>C:\TOC3201\Methods\Itamar\acid_sample.met</v>
      </c>
      <c r="F116" t="str">
        <f>"C:\TOC3201\CalCurves\Itamar\N_cal_25ppm_acid_laurel.2019_08_05_13_35_26.cal"</f>
        <v>C:\TOC3201\CalCurves\Itamar\N_cal_25ppm_acid_laurel.2019_08_05_13_35_26.cal</v>
      </c>
      <c r="G116">
        <v>1</v>
      </c>
      <c r="H116" t="str">
        <f>""</f>
        <v/>
      </c>
      <c r="I116" t="str">
        <f>"8/5/2019 5:31:19 PM"</f>
        <v>8/5/2019 5:31:19 PM</v>
      </c>
      <c r="J116" t="str">
        <f>"1"</f>
        <v>1</v>
      </c>
      <c r="K116" t="str">
        <f>"1"</f>
        <v>1</v>
      </c>
      <c r="L116" t="str">
        <f>"TN"</f>
        <v>TN</v>
      </c>
      <c r="M116" t="str">
        <f>"6.531"</f>
        <v>6.531</v>
      </c>
      <c r="N116" t="str">
        <f>"1.523"</f>
        <v>1.523</v>
      </c>
      <c r="O116" t="str">
        <f>"NPOC:10.86mg/L TN:1.489mg/L"</f>
        <v>NPOC:10.86mg/L TN:1.489mg/L</v>
      </c>
      <c r="P116">
        <v>0</v>
      </c>
      <c r="Q116" t="str">
        <f>"80"</f>
        <v>80</v>
      </c>
    </row>
    <row r="117" spans="1:17" x14ac:dyDescent="0.2">
      <c r="A117" t="str">
        <f>"Unknown"</f>
        <v>Unknown</v>
      </c>
      <c r="B117" t="str">
        <f>"NPOC/TN"</f>
        <v>NPOC/TN</v>
      </c>
      <c r="C117" t="str">
        <f>"1038"</f>
        <v>1038</v>
      </c>
      <c r="D117" t="str">
        <f>"DI"</f>
        <v>DI</v>
      </c>
      <c r="E117" t="str">
        <f>"C:\TOC3201\Methods\Itamar\acid_sample.met"</f>
        <v>C:\TOC3201\Methods\Itamar\acid_sample.met</v>
      </c>
      <c r="F117" t="str">
        <f>"C:\TOC3201\CalCurves\Itamar\N_cal_25ppm_acid_laurel.2019_08_05_13_35_26.cal"</f>
        <v>C:\TOC3201\CalCurves\Itamar\N_cal_25ppm_acid_laurel.2019_08_05_13_35_26.cal</v>
      </c>
      <c r="G117">
        <v>1</v>
      </c>
      <c r="H117" t="str">
        <f>""</f>
        <v/>
      </c>
      <c r="I117" t="str">
        <f>"8/5/2019 5:34:40 PM"</f>
        <v>8/5/2019 5:34:40 PM</v>
      </c>
      <c r="J117" t="str">
        <f>"1"</f>
        <v>1</v>
      </c>
      <c r="K117" t="str">
        <f>"2"</f>
        <v>2</v>
      </c>
      <c r="L117" t="str">
        <f>"TN"</f>
        <v>TN</v>
      </c>
      <c r="M117" t="str">
        <f>"6.064"</f>
        <v>6.064</v>
      </c>
      <c r="N117" t="str">
        <f>"1.420"</f>
        <v>1.420</v>
      </c>
      <c r="O117" t="str">
        <f>"NPOC:10.86mg/L TN:1.489mg/L"</f>
        <v>NPOC:10.86mg/L TN:1.489mg/L</v>
      </c>
      <c r="P117">
        <v>1</v>
      </c>
      <c r="Q117" t="str">
        <f>"80"</f>
        <v>80</v>
      </c>
    </row>
    <row r="118" spans="1:17" x14ac:dyDescent="0.2">
      <c r="A118" t="str">
        <f>"Unknown"</f>
        <v>Unknown</v>
      </c>
      <c r="B118" t="str">
        <f>"NPOC/TN"</f>
        <v>NPOC/TN</v>
      </c>
      <c r="C118" t="str">
        <f>"1038"</f>
        <v>1038</v>
      </c>
      <c r="D118" t="str">
        <f>"DI"</f>
        <v>DI</v>
      </c>
      <c r="E118" t="str">
        <f>"C:\TOC3201\Methods\Itamar\acid_sample.met"</f>
        <v>C:\TOC3201\Methods\Itamar\acid_sample.met</v>
      </c>
      <c r="F118" t="str">
        <f>"C:\TOC3201\CalCurves\Itamar\N_cal_25ppm_acid_laurel.2019_08_05_13_35_26.cal"</f>
        <v>C:\TOC3201\CalCurves\Itamar\N_cal_25ppm_acid_laurel.2019_08_05_13_35_26.cal</v>
      </c>
      <c r="G118">
        <v>1</v>
      </c>
      <c r="H118" t="str">
        <f>""</f>
        <v/>
      </c>
      <c r="I118" t="str">
        <f>"8/5/2019 5:38:06 PM"</f>
        <v>8/5/2019 5:38:06 PM</v>
      </c>
      <c r="J118" t="str">
        <f>"1"</f>
        <v>1</v>
      </c>
      <c r="K118" t="str">
        <f>"3"</f>
        <v>3</v>
      </c>
      <c r="L118" t="str">
        <f>"TN"</f>
        <v>TN</v>
      </c>
      <c r="M118" t="str">
        <f>"6.383"</f>
        <v>6.383</v>
      </c>
      <c r="N118" t="str">
        <f>"1.490"</f>
        <v>1.490</v>
      </c>
      <c r="O118" t="str">
        <f>"NPOC:10.86mg/L TN:1.489mg/L"</f>
        <v>NPOC:10.86mg/L TN:1.489mg/L</v>
      </c>
      <c r="P118">
        <v>0</v>
      </c>
      <c r="Q118" t="str">
        <f>"80"</f>
        <v>80</v>
      </c>
    </row>
    <row r="119" spans="1:17" x14ac:dyDescent="0.2">
      <c r="A119" t="str">
        <f>"Unknown"</f>
        <v>Unknown</v>
      </c>
      <c r="B119" t="str">
        <f>"NPOC/TN"</f>
        <v>NPOC/TN</v>
      </c>
      <c r="C119" t="str">
        <f>"1038"</f>
        <v>1038</v>
      </c>
      <c r="D119" t="str">
        <f>"DI"</f>
        <v>DI</v>
      </c>
      <c r="E119" t="str">
        <f>"C:\TOC3201\Methods\Itamar\acid_sample.met"</f>
        <v>C:\TOC3201\Methods\Itamar\acid_sample.met</v>
      </c>
      <c r="F119" t="str">
        <f>"C:\TOC3201\CalCurves\Itamar\N_cal_25ppm_acid_laurel.2019_08_05_13_35_26.cal"</f>
        <v>C:\TOC3201\CalCurves\Itamar\N_cal_25ppm_acid_laurel.2019_08_05_13_35_26.cal</v>
      </c>
      <c r="G119">
        <v>1</v>
      </c>
      <c r="H119" t="str">
        <f>""</f>
        <v/>
      </c>
      <c r="I119" t="str">
        <f>"8/5/2019 5:41:29 PM"</f>
        <v>8/5/2019 5:41:29 PM</v>
      </c>
      <c r="J119" t="str">
        <f>"1"</f>
        <v>1</v>
      </c>
      <c r="K119" t="str">
        <f>"4"</f>
        <v>4</v>
      </c>
      <c r="L119" t="str">
        <f>"TN"</f>
        <v>TN</v>
      </c>
      <c r="M119" t="str">
        <f>"6.217"</f>
        <v>6.217</v>
      </c>
      <c r="N119" t="str">
        <f>"1.454"</f>
        <v>1.454</v>
      </c>
      <c r="O119" t="str">
        <f>"NPOC:10.86mg/L TN:1.489mg/L"</f>
        <v>NPOC:10.86mg/L TN:1.489mg/L</v>
      </c>
      <c r="P119">
        <v>0</v>
      </c>
      <c r="Q119" t="str">
        <f>"80"</f>
        <v>80</v>
      </c>
    </row>
    <row r="120" spans="1:17" x14ac:dyDescent="0.2">
      <c r="A120" t="str">
        <f>"Unknown"</f>
        <v>Unknown</v>
      </c>
      <c r="B120" t="str">
        <f>"NPOC/TN"</f>
        <v>NPOC/TN</v>
      </c>
      <c r="C120" t="str">
        <f>"1038"</f>
        <v>1038</v>
      </c>
      <c r="D120" t="str">
        <f>"DI"</f>
        <v>DI</v>
      </c>
      <c r="E120" t="str">
        <f>"C:\TOC3201\Methods\Itamar\acid_sample.met"</f>
        <v>C:\TOC3201\Methods\Itamar\acid_sample.met</v>
      </c>
      <c r="F120" t="str">
        <f>"C:\TOC3201\CalCurves\Itamar\N_cal_25ppm_acid_laurel.2019_08_05_13_35_26.cal"</f>
        <v>C:\TOC3201\CalCurves\Itamar\N_cal_25ppm_acid_laurel.2019_08_05_13_35_26.cal</v>
      </c>
      <c r="G120">
        <v>1</v>
      </c>
      <c r="H120" t="str">
        <f>""</f>
        <v/>
      </c>
      <c r="I120" t="str">
        <f>"8/5/2019 5:44:17 PM"</f>
        <v>8/5/2019 5:44:17 PM</v>
      </c>
      <c r="J120" t="str">
        <f>"1"</f>
        <v>1</v>
      </c>
      <c r="K120" t="str">
        <f>"5"</f>
        <v>5</v>
      </c>
      <c r="L120" t="str">
        <f>"TN"</f>
        <v>TN</v>
      </c>
      <c r="M120" t="str">
        <f>"5.764"</f>
        <v>5.764</v>
      </c>
      <c r="N120" t="str">
        <f>"1.354"</f>
        <v>1.354</v>
      </c>
      <c r="O120" t="str">
        <f>"NPOC:10.86mg/L TN:1.489mg/L"</f>
        <v>NPOC:10.86mg/L TN:1.489mg/L</v>
      </c>
      <c r="P120">
        <v>1</v>
      </c>
      <c r="Q120" t="str">
        <f>"80"</f>
        <v>80</v>
      </c>
    </row>
    <row r="121" spans="1:17" x14ac:dyDescent="0.2">
      <c r="A121" t="str">
        <f>"Unknown"</f>
        <v>Unknown</v>
      </c>
      <c r="B121" t="str">
        <f>"NPOC/TN"</f>
        <v>NPOC/TN</v>
      </c>
      <c r="C121" t="str">
        <f>"1040"</f>
        <v>1040</v>
      </c>
      <c r="D121" t="str">
        <f>"DI"</f>
        <v>DI</v>
      </c>
      <c r="E121" t="str">
        <f>"C:\TOC3201\Methods\Itamar\acid_sample.met"</f>
        <v>C:\TOC3201\Methods\Itamar\acid_sample.met</v>
      </c>
      <c r="F121" t="str">
        <f>"C:\TOC3201\CalCurves\Itamar\C_cal_100ppm_acid_laurel.2019_08_05_11_33_40.cal"</f>
        <v>C:\TOC3201\CalCurves\Itamar\C_cal_100ppm_acid_laurel.2019_08_05_11_33_40.cal</v>
      </c>
      <c r="G121">
        <v>1</v>
      </c>
      <c r="H121" t="str">
        <f>""</f>
        <v/>
      </c>
      <c r="I121" t="str">
        <f>"8/5/2019 5:53:58 PM"</f>
        <v>8/5/2019 5:53:58 PM</v>
      </c>
      <c r="J121" t="str">
        <f>"1"</f>
        <v>1</v>
      </c>
      <c r="K121" t="str">
        <f>"1"</f>
        <v>1</v>
      </c>
      <c r="L121" t="str">
        <f>"NPOC"</f>
        <v>NPOC</v>
      </c>
      <c r="M121" t="str">
        <f>"36.85"</f>
        <v>36.85</v>
      </c>
      <c r="N121" t="str">
        <f>"7.667"</f>
        <v>7.667</v>
      </c>
      <c r="O121" t="str">
        <f>"NPOC:7.621mg/L TN:0.8891mg/L"</f>
        <v>NPOC:7.621mg/L TN:0.8891mg/L</v>
      </c>
      <c r="P121">
        <v>0</v>
      </c>
      <c r="Q121" t="str">
        <f>"80"</f>
        <v>80</v>
      </c>
    </row>
    <row r="122" spans="1:17" x14ac:dyDescent="0.2">
      <c r="A122" t="str">
        <f>"Unknown"</f>
        <v>Unknown</v>
      </c>
      <c r="B122" t="str">
        <f>"NPOC/TN"</f>
        <v>NPOC/TN</v>
      </c>
      <c r="C122" t="str">
        <f>"1040"</f>
        <v>1040</v>
      </c>
      <c r="D122" t="str">
        <f>"DI"</f>
        <v>DI</v>
      </c>
      <c r="E122" t="str">
        <f>"C:\TOC3201\Methods\Itamar\acid_sample.met"</f>
        <v>C:\TOC3201\Methods\Itamar\acid_sample.met</v>
      </c>
      <c r="F122" t="str">
        <f>"C:\TOC3201\CalCurves\Itamar\C_cal_100ppm_acid_laurel.2019_08_05_11_33_40.cal"</f>
        <v>C:\TOC3201\CalCurves\Itamar\C_cal_100ppm_acid_laurel.2019_08_05_11_33_40.cal</v>
      </c>
      <c r="G122">
        <v>1</v>
      </c>
      <c r="H122" t="str">
        <f>""</f>
        <v/>
      </c>
      <c r="I122" t="str">
        <f>"8/5/2019 5:57:14 PM"</f>
        <v>8/5/2019 5:57:14 PM</v>
      </c>
      <c r="J122" t="str">
        <f>"1"</f>
        <v>1</v>
      </c>
      <c r="K122" t="str">
        <f>"2"</f>
        <v>2</v>
      </c>
      <c r="L122" t="str">
        <f>"NPOC"</f>
        <v>NPOC</v>
      </c>
      <c r="M122" t="str">
        <f>"36.59"</f>
        <v>36.59</v>
      </c>
      <c r="N122" t="str">
        <f>"7.616"</f>
        <v>7.616</v>
      </c>
      <c r="O122" t="str">
        <f>"NPOC:7.621mg/L TN:0.8891mg/L"</f>
        <v>NPOC:7.621mg/L TN:0.8891mg/L</v>
      </c>
      <c r="P122">
        <v>0</v>
      </c>
      <c r="Q122" t="str">
        <f>"80"</f>
        <v>80</v>
      </c>
    </row>
    <row r="123" spans="1:17" x14ac:dyDescent="0.2">
      <c r="A123" t="str">
        <f>"Unknown"</f>
        <v>Unknown</v>
      </c>
      <c r="B123" t="str">
        <f>"NPOC/TN"</f>
        <v>NPOC/TN</v>
      </c>
      <c r="C123" t="str">
        <f>"1040"</f>
        <v>1040</v>
      </c>
      <c r="D123" t="str">
        <f>"DI"</f>
        <v>DI</v>
      </c>
      <c r="E123" t="str">
        <f>"C:\TOC3201\Methods\Itamar\acid_sample.met"</f>
        <v>C:\TOC3201\Methods\Itamar\acid_sample.met</v>
      </c>
      <c r="F123" t="str">
        <f>"C:\TOC3201\CalCurves\Itamar\C_cal_100ppm_acid_laurel.2019_08_05_11_33_40.cal"</f>
        <v>C:\TOC3201\CalCurves\Itamar\C_cal_100ppm_acid_laurel.2019_08_05_11_33_40.cal</v>
      </c>
      <c r="G123">
        <v>1</v>
      </c>
      <c r="H123" t="str">
        <f>""</f>
        <v/>
      </c>
      <c r="I123" t="str">
        <f>"8/5/2019 6:00:32 PM"</f>
        <v>8/5/2019 6:00:32 PM</v>
      </c>
      <c r="J123" t="str">
        <f>"1"</f>
        <v>1</v>
      </c>
      <c r="K123" t="str">
        <f>"3"</f>
        <v>3</v>
      </c>
      <c r="L123" t="str">
        <f>"NPOC"</f>
        <v>NPOC</v>
      </c>
      <c r="M123" t="str">
        <f>"38.55"</f>
        <v>38.55</v>
      </c>
      <c r="N123" t="str">
        <f>"8.001"</f>
        <v>8.001</v>
      </c>
      <c r="O123" t="str">
        <f>"NPOC:7.621mg/L TN:0.8891mg/L"</f>
        <v>NPOC:7.621mg/L TN:0.8891mg/L</v>
      </c>
      <c r="P123">
        <v>1</v>
      </c>
      <c r="Q123" t="str">
        <f>"80"</f>
        <v>80</v>
      </c>
    </row>
    <row r="124" spans="1:17" x14ac:dyDescent="0.2">
      <c r="A124" t="str">
        <f>"Unknown"</f>
        <v>Unknown</v>
      </c>
      <c r="B124" t="str">
        <f>"NPOC/TN"</f>
        <v>NPOC/TN</v>
      </c>
      <c r="C124" t="str">
        <f>"1040"</f>
        <v>1040</v>
      </c>
      <c r="D124" t="str">
        <f>"DI"</f>
        <v>DI</v>
      </c>
      <c r="E124" t="str">
        <f>"C:\TOC3201\Methods\Itamar\acid_sample.met"</f>
        <v>C:\TOC3201\Methods\Itamar\acid_sample.met</v>
      </c>
      <c r="F124" t="str">
        <f>"C:\TOC3201\CalCurves\Itamar\C_cal_100ppm_acid_laurel.2019_08_05_11_33_40.cal"</f>
        <v>C:\TOC3201\CalCurves\Itamar\C_cal_100ppm_acid_laurel.2019_08_05_11_33_40.cal</v>
      </c>
      <c r="G124">
        <v>1</v>
      </c>
      <c r="H124" t="str">
        <f>""</f>
        <v/>
      </c>
      <c r="I124" t="str">
        <f>"8/5/2019 6:03:43 PM"</f>
        <v>8/5/2019 6:03:43 PM</v>
      </c>
      <c r="J124" t="str">
        <f>"1"</f>
        <v>1</v>
      </c>
      <c r="K124" t="str">
        <f>"4"</f>
        <v>4</v>
      </c>
      <c r="L124" t="str">
        <f>"NPOC"</f>
        <v>NPOC</v>
      </c>
      <c r="M124" t="str">
        <f>"38.14"</f>
        <v>38.14</v>
      </c>
      <c r="N124" t="str">
        <f>"7.921"</f>
        <v>7.921</v>
      </c>
      <c r="O124" t="str">
        <f>"NPOC:7.621mg/L TN:0.8891mg/L"</f>
        <v>NPOC:7.621mg/L TN:0.8891mg/L</v>
      </c>
      <c r="P124">
        <v>1</v>
      </c>
      <c r="Q124" t="str">
        <f>"80"</f>
        <v>80</v>
      </c>
    </row>
    <row r="125" spans="1:17" x14ac:dyDescent="0.2">
      <c r="A125" t="str">
        <f>"Unknown"</f>
        <v>Unknown</v>
      </c>
      <c r="B125" t="str">
        <f>"NPOC/TN"</f>
        <v>NPOC/TN</v>
      </c>
      <c r="C125" t="str">
        <f>"1040"</f>
        <v>1040</v>
      </c>
      <c r="D125" t="str">
        <f>"DI"</f>
        <v>DI</v>
      </c>
      <c r="E125" t="str">
        <f>"C:\TOC3201\Methods\Itamar\acid_sample.met"</f>
        <v>C:\TOC3201\Methods\Itamar\acid_sample.met</v>
      </c>
      <c r="F125" t="str">
        <f>"C:\TOC3201\CalCurves\Itamar\C_cal_100ppm_acid_laurel.2019_08_05_11_33_40.cal"</f>
        <v>C:\TOC3201\CalCurves\Itamar\C_cal_100ppm_acid_laurel.2019_08_05_11_33_40.cal</v>
      </c>
      <c r="G125">
        <v>1</v>
      </c>
      <c r="H125" t="str">
        <f>""</f>
        <v/>
      </c>
      <c r="I125" t="str">
        <f>"8/5/2019 6:06:59 PM"</f>
        <v>8/5/2019 6:06:59 PM</v>
      </c>
      <c r="J125" t="str">
        <f>"1"</f>
        <v>1</v>
      </c>
      <c r="K125" t="str">
        <f>"5"</f>
        <v>5</v>
      </c>
      <c r="L125" t="str">
        <f>"NPOC"</f>
        <v>NPOC</v>
      </c>
      <c r="M125" t="str">
        <f>"36.40"</f>
        <v>36.40</v>
      </c>
      <c r="N125" t="str">
        <f>"7.579"</f>
        <v>7.579</v>
      </c>
      <c r="O125" t="str">
        <f>"NPOC:7.621mg/L TN:0.8891mg/L"</f>
        <v>NPOC:7.621mg/L TN:0.8891mg/L</v>
      </c>
      <c r="P125">
        <v>0</v>
      </c>
      <c r="Q125" t="str">
        <f>"80"</f>
        <v>80</v>
      </c>
    </row>
    <row r="126" spans="1:17" x14ac:dyDescent="0.2">
      <c r="A126" t="str">
        <f>"Unknown"</f>
        <v>Unknown</v>
      </c>
      <c r="B126" t="str">
        <f>"NPOC/TN"</f>
        <v>NPOC/TN</v>
      </c>
      <c r="C126" t="str">
        <f>"1040"</f>
        <v>1040</v>
      </c>
      <c r="D126" t="str">
        <f>"DI"</f>
        <v>DI</v>
      </c>
      <c r="E126" t="str">
        <f>"C:\TOC3201\Methods\Itamar\acid_sample.met"</f>
        <v>C:\TOC3201\Methods\Itamar\acid_sample.met</v>
      </c>
      <c r="F126" t="str">
        <f>"C:\TOC3201\CalCurves\Itamar\N_cal_25ppm_acid_laurel.2019_08_05_13_35_26.cal"</f>
        <v>C:\TOC3201\CalCurves\Itamar\N_cal_25ppm_acid_laurel.2019_08_05_13_35_26.cal</v>
      </c>
      <c r="G126">
        <v>1</v>
      </c>
      <c r="H126" t="str">
        <f>""</f>
        <v/>
      </c>
      <c r="I126" t="str">
        <f>"8/5/2019 5:53:58 PM"</f>
        <v>8/5/2019 5:53:58 PM</v>
      </c>
      <c r="J126" t="str">
        <f>"1"</f>
        <v>1</v>
      </c>
      <c r="K126" t="str">
        <f>"1"</f>
        <v>1</v>
      </c>
      <c r="L126" t="str">
        <f>"TN"</f>
        <v>TN</v>
      </c>
      <c r="M126" t="str">
        <f>"3.636"</f>
        <v>3.636</v>
      </c>
      <c r="N126" t="str">
        <f>"0.8840"</f>
        <v>0.8840</v>
      </c>
      <c r="O126" t="str">
        <f>"NPOC:7.621mg/L TN:0.8891mg/L"</f>
        <v>NPOC:7.621mg/L TN:0.8891mg/L</v>
      </c>
      <c r="P126">
        <v>0</v>
      </c>
      <c r="Q126" t="str">
        <f>"80"</f>
        <v>80</v>
      </c>
    </row>
    <row r="127" spans="1:17" x14ac:dyDescent="0.2">
      <c r="A127" t="str">
        <f>"Unknown"</f>
        <v>Unknown</v>
      </c>
      <c r="B127" t="str">
        <f>"NPOC/TN"</f>
        <v>NPOC/TN</v>
      </c>
      <c r="C127" t="str">
        <f>"1040"</f>
        <v>1040</v>
      </c>
      <c r="D127" t="str">
        <f>"DI"</f>
        <v>DI</v>
      </c>
      <c r="E127" t="str">
        <f>"C:\TOC3201\Methods\Itamar\acid_sample.met"</f>
        <v>C:\TOC3201\Methods\Itamar\acid_sample.met</v>
      </c>
      <c r="F127" t="str">
        <f>"C:\TOC3201\CalCurves\Itamar\N_cal_25ppm_acid_laurel.2019_08_05_13_35_26.cal"</f>
        <v>C:\TOC3201\CalCurves\Itamar\N_cal_25ppm_acid_laurel.2019_08_05_13_35_26.cal</v>
      </c>
      <c r="G127">
        <v>1</v>
      </c>
      <c r="H127" t="str">
        <f>""</f>
        <v/>
      </c>
      <c r="I127" t="str">
        <f>"8/5/2019 5:57:14 PM"</f>
        <v>8/5/2019 5:57:14 PM</v>
      </c>
      <c r="J127" t="str">
        <f>"1"</f>
        <v>1</v>
      </c>
      <c r="K127" t="str">
        <f>"2"</f>
        <v>2</v>
      </c>
      <c r="L127" t="str">
        <f>"TN"</f>
        <v>TN</v>
      </c>
      <c r="M127" t="str">
        <f>"3.973"</f>
        <v>3.973</v>
      </c>
      <c r="N127" t="str">
        <f>"0.9584"</f>
        <v>0.9584</v>
      </c>
      <c r="O127" t="str">
        <f>"NPOC:7.621mg/L TN:0.8891mg/L"</f>
        <v>NPOC:7.621mg/L TN:0.8891mg/L</v>
      </c>
      <c r="P127">
        <v>1</v>
      </c>
      <c r="Q127" t="str">
        <f>"80"</f>
        <v>80</v>
      </c>
    </row>
    <row r="128" spans="1:17" x14ac:dyDescent="0.2">
      <c r="A128" t="str">
        <f>"Unknown"</f>
        <v>Unknown</v>
      </c>
      <c r="B128" t="str">
        <f>"NPOC/TN"</f>
        <v>NPOC/TN</v>
      </c>
      <c r="C128" t="str">
        <f>"1040"</f>
        <v>1040</v>
      </c>
      <c r="D128" t="str">
        <f>"DI"</f>
        <v>DI</v>
      </c>
      <c r="E128" t="str">
        <f>"C:\TOC3201\Methods\Itamar\acid_sample.met"</f>
        <v>C:\TOC3201\Methods\Itamar\acid_sample.met</v>
      </c>
      <c r="F128" t="str">
        <f>"C:\TOC3201\CalCurves\Itamar\N_cal_25ppm_acid_laurel.2019_08_05_13_35_26.cal"</f>
        <v>C:\TOC3201\CalCurves\Itamar\N_cal_25ppm_acid_laurel.2019_08_05_13_35_26.cal</v>
      </c>
      <c r="G128">
        <v>1</v>
      </c>
      <c r="H128" t="str">
        <f>""</f>
        <v/>
      </c>
      <c r="I128" t="str">
        <f>"8/5/2019 6:00:32 PM"</f>
        <v>8/5/2019 6:00:32 PM</v>
      </c>
      <c r="J128" t="str">
        <f>"1"</f>
        <v>1</v>
      </c>
      <c r="K128" t="str">
        <f>"3"</f>
        <v>3</v>
      </c>
      <c r="L128" t="str">
        <f>"TN"</f>
        <v>TN</v>
      </c>
      <c r="M128" t="str">
        <f>"3.738"</f>
        <v>3.738</v>
      </c>
      <c r="N128" t="str">
        <f>"0.9065"</f>
        <v>0.9065</v>
      </c>
      <c r="O128" t="str">
        <f>"NPOC:7.621mg/L TN:0.8891mg/L"</f>
        <v>NPOC:7.621mg/L TN:0.8891mg/L</v>
      </c>
      <c r="P128">
        <v>0</v>
      </c>
      <c r="Q128" t="str">
        <f>"80"</f>
        <v>80</v>
      </c>
    </row>
    <row r="129" spans="1:17" x14ac:dyDescent="0.2">
      <c r="A129" t="str">
        <f>"Unknown"</f>
        <v>Unknown</v>
      </c>
      <c r="B129" t="str">
        <f>"NPOC/TN"</f>
        <v>NPOC/TN</v>
      </c>
      <c r="C129" t="str">
        <f>"1040"</f>
        <v>1040</v>
      </c>
      <c r="D129" t="str">
        <f>"DI"</f>
        <v>DI</v>
      </c>
      <c r="E129" t="str">
        <f>"C:\TOC3201\Methods\Itamar\acid_sample.met"</f>
        <v>C:\TOC3201\Methods\Itamar\acid_sample.met</v>
      </c>
      <c r="F129" t="str">
        <f>"C:\TOC3201\CalCurves\Itamar\N_cal_25ppm_acid_laurel.2019_08_05_13_35_26.cal"</f>
        <v>C:\TOC3201\CalCurves\Itamar\N_cal_25ppm_acid_laurel.2019_08_05_13_35_26.cal</v>
      </c>
      <c r="G129">
        <v>1</v>
      </c>
      <c r="H129" t="str">
        <f>""</f>
        <v/>
      </c>
      <c r="I129" t="str">
        <f>"8/5/2019 6:03:43 PM"</f>
        <v>8/5/2019 6:03:43 PM</v>
      </c>
      <c r="J129" t="str">
        <f>"1"</f>
        <v>1</v>
      </c>
      <c r="K129" t="str">
        <f>"4"</f>
        <v>4</v>
      </c>
      <c r="L129" t="str">
        <f>"TN"</f>
        <v>TN</v>
      </c>
      <c r="M129" t="str">
        <f>"3.478"</f>
        <v>3.478</v>
      </c>
      <c r="N129" t="str">
        <f>"0.8491"</f>
        <v>0.8491</v>
      </c>
      <c r="O129" t="str">
        <f>"NPOC:7.621mg/L TN:0.8891mg/L"</f>
        <v>NPOC:7.621mg/L TN:0.8891mg/L</v>
      </c>
      <c r="P129">
        <v>1</v>
      </c>
      <c r="Q129" t="str">
        <f>"80"</f>
        <v>80</v>
      </c>
    </row>
    <row r="130" spans="1:17" x14ac:dyDescent="0.2">
      <c r="A130" t="str">
        <f>"Unknown"</f>
        <v>Unknown</v>
      </c>
      <c r="B130" t="str">
        <f>"NPOC/TN"</f>
        <v>NPOC/TN</v>
      </c>
      <c r="C130" t="str">
        <f>"1040"</f>
        <v>1040</v>
      </c>
      <c r="D130" t="str">
        <f>"DI"</f>
        <v>DI</v>
      </c>
      <c r="E130" t="str">
        <f>"C:\TOC3201\Methods\Itamar\acid_sample.met"</f>
        <v>C:\TOC3201\Methods\Itamar\acid_sample.met</v>
      </c>
      <c r="F130" t="str">
        <f>"C:\TOC3201\CalCurves\Itamar\N_cal_25ppm_acid_laurel.2019_08_05_13_35_26.cal"</f>
        <v>C:\TOC3201\CalCurves\Itamar\N_cal_25ppm_acid_laurel.2019_08_05_13_35_26.cal</v>
      </c>
      <c r="G130">
        <v>1</v>
      </c>
      <c r="H130" t="str">
        <f>""</f>
        <v/>
      </c>
      <c r="I130" t="str">
        <f>"8/5/2019 6:06:59 PM"</f>
        <v>8/5/2019 6:06:59 PM</v>
      </c>
      <c r="J130" t="str">
        <f>"1"</f>
        <v>1</v>
      </c>
      <c r="K130" t="str">
        <f>"5"</f>
        <v>5</v>
      </c>
      <c r="L130" t="str">
        <f>"TN"</f>
        <v>TN</v>
      </c>
      <c r="M130" t="str">
        <f>"3.604"</f>
        <v>3.604</v>
      </c>
      <c r="N130" t="str">
        <f>"0.8769"</f>
        <v>0.8769</v>
      </c>
      <c r="O130" t="str">
        <f>"NPOC:7.621mg/L TN:0.8891mg/L"</f>
        <v>NPOC:7.621mg/L TN:0.8891mg/L</v>
      </c>
      <c r="P130">
        <v>0</v>
      </c>
      <c r="Q130" t="str">
        <f>"80"</f>
        <v>80</v>
      </c>
    </row>
    <row r="131" spans="1:17" x14ac:dyDescent="0.2">
      <c r="A131" t="str">
        <f>"Unknown"</f>
        <v>Unknown</v>
      </c>
      <c r="B131" t="str">
        <f>"NPOC/TN"</f>
        <v>NPOC/TN</v>
      </c>
      <c r="C131" t="str">
        <f>"1042"</f>
        <v>1042</v>
      </c>
      <c r="D131" t="str">
        <f>"DI"</f>
        <v>DI</v>
      </c>
      <c r="E131" t="str">
        <f>"C:\TOC3201\Methods\Itamar\acid_sample.met"</f>
        <v>C:\TOC3201\Methods\Itamar\acid_sample.met</v>
      </c>
      <c r="F131" t="str">
        <f>"C:\TOC3201\CalCurves\Itamar\C_cal_100ppm_acid_laurel.2019_08_05_11_33_40.cal"</f>
        <v>C:\TOC3201\CalCurves\Itamar\C_cal_100ppm_acid_laurel.2019_08_05_11_33_40.cal</v>
      </c>
      <c r="G131">
        <v>1</v>
      </c>
      <c r="H131" t="str">
        <f>""</f>
        <v/>
      </c>
      <c r="I131" t="str">
        <f>"8/5/2019 6:16:39 PM"</f>
        <v>8/5/2019 6:16:39 PM</v>
      </c>
      <c r="J131" t="str">
        <f>"1"</f>
        <v>1</v>
      </c>
      <c r="K131" t="str">
        <f>"1"</f>
        <v>1</v>
      </c>
      <c r="L131" t="str">
        <f>"NPOC"</f>
        <v>NPOC</v>
      </c>
      <c r="M131" t="str">
        <f>"35.13"</f>
        <v>35.13</v>
      </c>
      <c r="N131" t="str">
        <f>"7.329"</f>
        <v>7.329</v>
      </c>
      <c r="O131" t="str">
        <f>"NPOC:7.629mg/L TN:0.7645mg/L"</f>
        <v>NPOC:7.629mg/L TN:0.7645mg/L</v>
      </c>
      <c r="P131">
        <v>1</v>
      </c>
      <c r="Q131" t="str">
        <f>"80"</f>
        <v>80</v>
      </c>
    </row>
    <row r="132" spans="1:17" x14ac:dyDescent="0.2">
      <c r="A132" t="str">
        <f>"Unknown"</f>
        <v>Unknown</v>
      </c>
      <c r="B132" t="str">
        <f>"NPOC/TN"</f>
        <v>NPOC/TN</v>
      </c>
      <c r="C132" t="str">
        <f>"1042"</f>
        <v>1042</v>
      </c>
      <c r="D132" t="str">
        <f>"DI"</f>
        <v>DI</v>
      </c>
      <c r="E132" t="str">
        <f>"C:\TOC3201\Methods\Itamar\acid_sample.met"</f>
        <v>C:\TOC3201\Methods\Itamar\acid_sample.met</v>
      </c>
      <c r="F132" t="str">
        <f>"C:\TOC3201\CalCurves\Itamar\C_cal_100ppm_acid_laurel.2019_08_05_11_33_40.cal"</f>
        <v>C:\TOC3201\CalCurves\Itamar\C_cal_100ppm_acid_laurel.2019_08_05_11_33_40.cal</v>
      </c>
      <c r="G132">
        <v>1</v>
      </c>
      <c r="H132" t="str">
        <f>""</f>
        <v/>
      </c>
      <c r="I132" t="str">
        <f>"8/5/2019 6:19:50 PM"</f>
        <v>8/5/2019 6:19:50 PM</v>
      </c>
      <c r="J132" t="str">
        <f>"1"</f>
        <v>1</v>
      </c>
      <c r="K132" t="str">
        <f>"2"</f>
        <v>2</v>
      </c>
      <c r="L132" t="str">
        <f>"NPOC"</f>
        <v>NPOC</v>
      </c>
      <c r="M132" t="str">
        <f>"35.38"</f>
        <v>35.38</v>
      </c>
      <c r="N132" t="str">
        <f>"7.379"</f>
        <v>7.379</v>
      </c>
      <c r="O132" t="str">
        <f>"NPOC:7.629mg/L TN:0.7645mg/L"</f>
        <v>NPOC:7.629mg/L TN:0.7645mg/L</v>
      </c>
      <c r="P132">
        <v>1</v>
      </c>
      <c r="Q132" t="str">
        <f>"80"</f>
        <v>80</v>
      </c>
    </row>
    <row r="133" spans="1:17" x14ac:dyDescent="0.2">
      <c r="A133" t="str">
        <f>"Unknown"</f>
        <v>Unknown</v>
      </c>
      <c r="B133" t="str">
        <f>"NPOC/TN"</f>
        <v>NPOC/TN</v>
      </c>
      <c r="C133" t="str">
        <f>"1042"</f>
        <v>1042</v>
      </c>
      <c r="D133" t="str">
        <f>"DI"</f>
        <v>DI</v>
      </c>
      <c r="E133" t="str">
        <f>"C:\TOC3201\Methods\Itamar\acid_sample.met"</f>
        <v>C:\TOC3201\Methods\Itamar\acid_sample.met</v>
      </c>
      <c r="F133" t="str">
        <f>"C:\TOC3201\CalCurves\Itamar\C_cal_100ppm_acid_laurel.2019_08_05_11_33_40.cal"</f>
        <v>C:\TOC3201\CalCurves\Itamar\C_cal_100ppm_acid_laurel.2019_08_05_11_33_40.cal</v>
      </c>
      <c r="G133">
        <v>1</v>
      </c>
      <c r="H133" t="str">
        <f>""</f>
        <v/>
      </c>
      <c r="I133" t="str">
        <f>"8/5/2019 6:23:09 PM"</f>
        <v>8/5/2019 6:23:09 PM</v>
      </c>
      <c r="J133" t="str">
        <f>"1"</f>
        <v>1</v>
      </c>
      <c r="K133" t="str">
        <f>"3"</f>
        <v>3</v>
      </c>
      <c r="L133" t="str">
        <f>"NPOC"</f>
        <v>NPOC</v>
      </c>
      <c r="M133" t="str">
        <f>"37.11"</f>
        <v>37.11</v>
      </c>
      <c r="N133" t="str">
        <f>"7.718"</f>
        <v>7.718</v>
      </c>
      <c r="O133" t="str">
        <f>"NPOC:7.629mg/L TN:0.7645mg/L"</f>
        <v>NPOC:7.629mg/L TN:0.7645mg/L</v>
      </c>
      <c r="P133">
        <v>0</v>
      </c>
      <c r="Q133" t="str">
        <f>"80"</f>
        <v>80</v>
      </c>
    </row>
    <row r="134" spans="1:17" x14ac:dyDescent="0.2">
      <c r="A134" t="str">
        <f>"Unknown"</f>
        <v>Unknown</v>
      </c>
      <c r="B134" t="str">
        <f>"NPOC/TN"</f>
        <v>NPOC/TN</v>
      </c>
      <c r="C134" t="str">
        <f>"1042"</f>
        <v>1042</v>
      </c>
      <c r="D134" t="str">
        <f>"DI"</f>
        <v>DI</v>
      </c>
      <c r="E134" t="str">
        <f>"C:\TOC3201\Methods\Itamar\acid_sample.met"</f>
        <v>C:\TOC3201\Methods\Itamar\acid_sample.met</v>
      </c>
      <c r="F134" t="str">
        <f>"C:\TOC3201\CalCurves\Itamar\C_cal_100ppm_acid_laurel.2019_08_05_11_33_40.cal"</f>
        <v>C:\TOC3201\CalCurves\Itamar\C_cal_100ppm_acid_laurel.2019_08_05_11_33_40.cal</v>
      </c>
      <c r="G134">
        <v>1</v>
      </c>
      <c r="H134" t="str">
        <f>""</f>
        <v/>
      </c>
      <c r="I134" t="str">
        <f>"8/5/2019 6:26:23 PM"</f>
        <v>8/5/2019 6:26:23 PM</v>
      </c>
      <c r="J134" t="str">
        <f>"1"</f>
        <v>1</v>
      </c>
      <c r="K134" t="str">
        <f>"4"</f>
        <v>4</v>
      </c>
      <c r="L134" t="str">
        <f>"NPOC"</f>
        <v>NPOC</v>
      </c>
      <c r="M134" t="str">
        <f>"36.72"</f>
        <v>36.72</v>
      </c>
      <c r="N134" t="str">
        <f>"7.642"</f>
        <v>7.642</v>
      </c>
      <c r="O134" t="str">
        <f>"NPOC:7.629mg/L TN:0.7645mg/L"</f>
        <v>NPOC:7.629mg/L TN:0.7645mg/L</v>
      </c>
      <c r="P134">
        <v>0</v>
      </c>
      <c r="Q134" t="str">
        <f>"80"</f>
        <v>80</v>
      </c>
    </row>
    <row r="135" spans="1:17" x14ac:dyDescent="0.2">
      <c r="A135" t="str">
        <f>"Unknown"</f>
        <v>Unknown</v>
      </c>
      <c r="B135" t="str">
        <f>"NPOC/TN"</f>
        <v>NPOC/TN</v>
      </c>
      <c r="C135" t="str">
        <f>"1042"</f>
        <v>1042</v>
      </c>
      <c r="D135" t="str">
        <f>"DI"</f>
        <v>DI</v>
      </c>
      <c r="E135" t="str">
        <f>"C:\TOC3201\Methods\Itamar\acid_sample.met"</f>
        <v>C:\TOC3201\Methods\Itamar\acid_sample.met</v>
      </c>
      <c r="F135" t="str">
        <f>"C:\TOC3201\CalCurves\Itamar\C_cal_100ppm_acid_laurel.2019_08_05_11_33_40.cal"</f>
        <v>C:\TOC3201\CalCurves\Itamar\C_cal_100ppm_acid_laurel.2019_08_05_11_33_40.cal</v>
      </c>
      <c r="G135">
        <v>1</v>
      </c>
      <c r="H135" t="str">
        <f>""</f>
        <v/>
      </c>
      <c r="I135" t="str">
        <f>"8/5/2019 6:29:31 PM"</f>
        <v>8/5/2019 6:29:31 PM</v>
      </c>
      <c r="J135" t="str">
        <f>"1"</f>
        <v>1</v>
      </c>
      <c r="K135" t="str">
        <f>"5"</f>
        <v>5</v>
      </c>
      <c r="L135" t="str">
        <f>"NPOC"</f>
        <v>NPOC</v>
      </c>
      <c r="M135" t="str">
        <f>"36.14"</f>
        <v>36.14</v>
      </c>
      <c r="N135" t="str">
        <f>"7.528"</f>
        <v>7.528</v>
      </c>
      <c r="O135" t="str">
        <f>"NPOC:7.629mg/L TN:0.7645mg/L"</f>
        <v>NPOC:7.629mg/L TN:0.7645mg/L</v>
      </c>
      <c r="P135">
        <v>0</v>
      </c>
      <c r="Q135" t="str">
        <f>"80"</f>
        <v>80</v>
      </c>
    </row>
    <row r="136" spans="1:17" x14ac:dyDescent="0.2">
      <c r="A136" t="str">
        <f>"Unknown"</f>
        <v>Unknown</v>
      </c>
      <c r="B136" t="str">
        <f>"NPOC/TN"</f>
        <v>NPOC/TN</v>
      </c>
      <c r="C136" t="str">
        <f>"1042"</f>
        <v>1042</v>
      </c>
      <c r="D136" t="str">
        <f>"DI"</f>
        <v>DI</v>
      </c>
      <c r="E136" t="str">
        <f>"C:\TOC3201\Methods\Itamar\acid_sample.met"</f>
        <v>C:\TOC3201\Methods\Itamar\acid_sample.met</v>
      </c>
      <c r="F136" t="str">
        <f>"C:\TOC3201\CalCurves\Itamar\N_cal_25ppm_acid_laurel.2019_08_05_13_35_26.cal"</f>
        <v>C:\TOC3201\CalCurves\Itamar\N_cal_25ppm_acid_laurel.2019_08_05_13_35_26.cal</v>
      </c>
      <c r="G136">
        <v>1</v>
      </c>
      <c r="H136" t="str">
        <f>""</f>
        <v/>
      </c>
      <c r="I136" t="str">
        <f>"8/5/2019 6:16:39 PM"</f>
        <v>8/5/2019 6:16:39 PM</v>
      </c>
      <c r="J136" t="str">
        <f>"1"</f>
        <v>1</v>
      </c>
      <c r="K136" t="str">
        <f>"1"</f>
        <v>1</v>
      </c>
      <c r="L136" t="str">
        <f>"TN"</f>
        <v>TN</v>
      </c>
      <c r="M136" t="str">
        <f>"2.991"</f>
        <v>2.991</v>
      </c>
      <c r="N136" t="str">
        <f>"0.7416"</f>
        <v>0.7416</v>
      </c>
      <c r="O136" t="str">
        <f>"NPOC:7.629mg/L TN:0.7645mg/L"</f>
        <v>NPOC:7.629mg/L TN:0.7645mg/L</v>
      </c>
      <c r="P136">
        <v>0</v>
      </c>
      <c r="Q136" t="str">
        <f>"80"</f>
        <v>80</v>
      </c>
    </row>
    <row r="137" spans="1:17" x14ac:dyDescent="0.2">
      <c r="A137" t="str">
        <f>"Unknown"</f>
        <v>Unknown</v>
      </c>
      <c r="B137" t="str">
        <f>"NPOC/TN"</f>
        <v>NPOC/TN</v>
      </c>
      <c r="C137" t="str">
        <f>"1042"</f>
        <v>1042</v>
      </c>
      <c r="D137" t="str">
        <f>"DI"</f>
        <v>DI</v>
      </c>
      <c r="E137" t="str">
        <f>"C:\TOC3201\Methods\Itamar\acid_sample.met"</f>
        <v>C:\TOC3201\Methods\Itamar\acid_sample.met</v>
      </c>
      <c r="F137" t="str">
        <f>"C:\TOC3201\CalCurves\Itamar\N_cal_25ppm_acid_laurel.2019_08_05_13_35_26.cal"</f>
        <v>C:\TOC3201\CalCurves\Itamar\N_cal_25ppm_acid_laurel.2019_08_05_13_35_26.cal</v>
      </c>
      <c r="G137">
        <v>1</v>
      </c>
      <c r="H137" t="str">
        <f>""</f>
        <v/>
      </c>
      <c r="I137" t="str">
        <f>"8/5/2019 6:19:50 PM"</f>
        <v>8/5/2019 6:19:50 PM</v>
      </c>
      <c r="J137" t="str">
        <f>"1"</f>
        <v>1</v>
      </c>
      <c r="K137" t="str">
        <f>"2"</f>
        <v>2</v>
      </c>
      <c r="L137" t="str">
        <f>"TN"</f>
        <v>TN</v>
      </c>
      <c r="M137" t="str">
        <f>"3.139"</f>
        <v>3.139</v>
      </c>
      <c r="N137" t="str">
        <f>"0.7743"</f>
        <v>0.7743</v>
      </c>
      <c r="O137" t="str">
        <f>"NPOC:7.629mg/L TN:0.7645mg/L"</f>
        <v>NPOC:7.629mg/L TN:0.7645mg/L</v>
      </c>
      <c r="P137">
        <v>0</v>
      </c>
      <c r="Q137" t="str">
        <f>"80"</f>
        <v>80</v>
      </c>
    </row>
    <row r="138" spans="1:17" x14ac:dyDescent="0.2">
      <c r="A138" t="str">
        <f>"Unknown"</f>
        <v>Unknown</v>
      </c>
      <c r="B138" t="str">
        <f>"NPOC/TN"</f>
        <v>NPOC/TN</v>
      </c>
      <c r="C138" t="str">
        <f>"1042"</f>
        <v>1042</v>
      </c>
      <c r="D138" t="str">
        <f>"DI"</f>
        <v>DI</v>
      </c>
      <c r="E138" t="str">
        <f>"C:\TOC3201\Methods\Itamar\acid_sample.met"</f>
        <v>C:\TOC3201\Methods\Itamar\acid_sample.met</v>
      </c>
      <c r="F138" t="str">
        <f>"C:\TOC3201\CalCurves\Itamar\N_cal_25ppm_acid_laurel.2019_08_05_13_35_26.cal"</f>
        <v>C:\TOC3201\CalCurves\Itamar\N_cal_25ppm_acid_laurel.2019_08_05_13_35_26.cal</v>
      </c>
      <c r="G138">
        <v>1</v>
      </c>
      <c r="H138" t="str">
        <f>""</f>
        <v/>
      </c>
      <c r="I138" t="str">
        <f>"8/5/2019 6:23:09 PM"</f>
        <v>8/5/2019 6:23:09 PM</v>
      </c>
      <c r="J138" t="str">
        <f>"1"</f>
        <v>1</v>
      </c>
      <c r="K138" t="str">
        <f>"3"</f>
        <v>3</v>
      </c>
      <c r="L138" t="str">
        <f>"TN"</f>
        <v>TN</v>
      </c>
      <c r="M138" t="str">
        <f>"3.488"</f>
        <v>3.488</v>
      </c>
      <c r="N138" t="str">
        <f>"0.8513"</f>
        <v>0.8513</v>
      </c>
      <c r="O138" t="str">
        <f>"NPOC:7.629mg/L TN:0.7645mg/L"</f>
        <v>NPOC:7.629mg/L TN:0.7645mg/L</v>
      </c>
      <c r="P138">
        <v>1</v>
      </c>
      <c r="Q138" t="str">
        <f>"80"</f>
        <v>80</v>
      </c>
    </row>
    <row r="139" spans="1:17" x14ac:dyDescent="0.2">
      <c r="A139" t="str">
        <f>"Unknown"</f>
        <v>Unknown</v>
      </c>
      <c r="B139" t="str">
        <f>"NPOC/TN"</f>
        <v>NPOC/TN</v>
      </c>
      <c r="C139" t="str">
        <f>"1042"</f>
        <v>1042</v>
      </c>
      <c r="D139" t="str">
        <f>"DI"</f>
        <v>DI</v>
      </c>
      <c r="E139" t="str">
        <f>"C:\TOC3201\Methods\Itamar\acid_sample.met"</f>
        <v>C:\TOC3201\Methods\Itamar\acid_sample.met</v>
      </c>
      <c r="F139" t="str">
        <f>"C:\TOC3201\CalCurves\Itamar\N_cal_25ppm_acid_laurel.2019_08_05_13_35_26.cal"</f>
        <v>C:\TOC3201\CalCurves\Itamar\N_cal_25ppm_acid_laurel.2019_08_05_13_35_26.cal</v>
      </c>
      <c r="G139">
        <v>1</v>
      </c>
      <c r="H139" t="str">
        <f>""</f>
        <v/>
      </c>
      <c r="I139" t="str">
        <f>"8/5/2019 6:26:23 PM"</f>
        <v>8/5/2019 6:26:23 PM</v>
      </c>
      <c r="J139" t="str">
        <f>"1"</f>
        <v>1</v>
      </c>
      <c r="K139" t="str">
        <f>"4"</f>
        <v>4</v>
      </c>
      <c r="L139" t="str">
        <f>"TN"</f>
        <v>TN</v>
      </c>
      <c r="M139" t="str">
        <f>"3.154"</f>
        <v>3.154</v>
      </c>
      <c r="N139" t="str">
        <f>"0.7776"</f>
        <v>0.7776</v>
      </c>
      <c r="O139" t="str">
        <f>"NPOC:7.629mg/L TN:0.7645mg/L"</f>
        <v>NPOC:7.629mg/L TN:0.7645mg/L</v>
      </c>
      <c r="P139">
        <v>0</v>
      </c>
      <c r="Q139" t="str">
        <f>"80"</f>
        <v>80</v>
      </c>
    </row>
    <row r="140" spans="1:17" x14ac:dyDescent="0.2">
      <c r="A140" t="str">
        <f>"Unknown"</f>
        <v>Unknown</v>
      </c>
      <c r="B140" t="str">
        <f>"NPOC/TN"</f>
        <v>NPOC/TN</v>
      </c>
      <c r="C140" t="str">
        <f>"1044"</f>
        <v>1044</v>
      </c>
      <c r="D140" t="str">
        <f>"DI"</f>
        <v>DI</v>
      </c>
      <c r="E140" t="str">
        <f>"C:\TOC3201\Methods\Itamar\acid_sample.met"</f>
        <v>C:\TOC3201\Methods\Itamar\acid_sample.met</v>
      </c>
      <c r="F140" t="str">
        <f>"C:\TOC3201\CalCurves\Itamar\C_cal_100ppm_acid_laurel.2019_08_05_11_33_40.cal"</f>
        <v>C:\TOC3201\CalCurves\Itamar\C_cal_100ppm_acid_laurel.2019_08_05_11_33_40.cal</v>
      </c>
      <c r="G140">
        <v>1</v>
      </c>
      <c r="H140" t="str">
        <f>""</f>
        <v/>
      </c>
      <c r="I140" t="str">
        <f>"8/5/2019 6:39:19 PM"</f>
        <v>8/5/2019 6:39:19 PM</v>
      </c>
      <c r="J140" t="str">
        <f>"1"</f>
        <v>1</v>
      </c>
      <c r="K140" t="str">
        <f>"1"</f>
        <v>1</v>
      </c>
      <c r="L140" t="str">
        <f>"NPOC"</f>
        <v>NPOC</v>
      </c>
      <c r="M140" t="str">
        <f>"39.16"</f>
        <v>39.16</v>
      </c>
      <c r="N140" t="str">
        <f>"8.121"</f>
        <v>8.121</v>
      </c>
      <c r="O140" t="str">
        <f>"NPOC:8.153mg/L TN:0.7978mg/L"</f>
        <v>NPOC:8.153mg/L TN:0.7978mg/L</v>
      </c>
      <c r="P140">
        <v>0</v>
      </c>
      <c r="Q140" t="str">
        <f>"80"</f>
        <v>80</v>
      </c>
    </row>
    <row r="141" spans="1:17" x14ac:dyDescent="0.2">
      <c r="A141" t="str">
        <f>"Unknown"</f>
        <v>Unknown</v>
      </c>
      <c r="B141" t="str">
        <f>"NPOC/TN"</f>
        <v>NPOC/TN</v>
      </c>
      <c r="C141" t="str">
        <f>"1044"</f>
        <v>1044</v>
      </c>
      <c r="D141" t="str">
        <f>"DI"</f>
        <v>DI</v>
      </c>
      <c r="E141" t="str">
        <f>"C:\TOC3201\Methods\Itamar\acid_sample.met"</f>
        <v>C:\TOC3201\Methods\Itamar\acid_sample.met</v>
      </c>
      <c r="F141" t="str">
        <f>"C:\TOC3201\CalCurves\Itamar\C_cal_100ppm_acid_laurel.2019_08_05_11_33_40.cal"</f>
        <v>C:\TOC3201\CalCurves\Itamar\C_cal_100ppm_acid_laurel.2019_08_05_11_33_40.cal</v>
      </c>
      <c r="G141">
        <v>1</v>
      </c>
      <c r="H141" t="str">
        <f>""</f>
        <v/>
      </c>
      <c r="I141" t="str">
        <f>"8/5/2019 6:42:31 PM"</f>
        <v>8/5/2019 6:42:31 PM</v>
      </c>
      <c r="J141" t="str">
        <f>"1"</f>
        <v>1</v>
      </c>
      <c r="K141" t="str">
        <f>"2"</f>
        <v>2</v>
      </c>
      <c r="L141" t="str">
        <f>"NPOC"</f>
        <v>NPOC</v>
      </c>
      <c r="M141" t="str">
        <f>"38.95"</f>
        <v>38.95</v>
      </c>
      <c r="N141" t="str">
        <f>"8.080"</f>
        <v>8.080</v>
      </c>
      <c r="O141" t="str">
        <f>"NPOC:8.153mg/L TN:0.7978mg/L"</f>
        <v>NPOC:8.153mg/L TN:0.7978mg/L</v>
      </c>
      <c r="P141">
        <v>0</v>
      </c>
      <c r="Q141" t="str">
        <f>"80"</f>
        <v>80</v>
      </c>
    </row>
    <row r="142" spans="1:17" x14ac:dyDescent="0.2">
      <c r="A142" t="str">
        <f>"Unknown"</f>
        <v>Unknown</v>
      </c>
      <c r="B142" t="str">
        <f>"NPOC/TN"</f>
        <v>NPOC/TN</v>
      </c>
      <c r="C142" t="str">
        <f>"1044"</f>
        <v>1044</v>
      </c>
      <c r="D142" t="str">
        <f>"DI"</f>
        <v>DI</v>
      </c>
      <c r="E142" t="str">
        <f>"C:\TOC3201\Methods\Itamar\acid_sample.met"</f>
        <v>C:\TOC3201\Methods\Itamar\acid_sample.met</v>
      </c>
      <c r="F142" t="str">
        <f>"C:\TOC3201\CalCurves\Itamar\C_cal_100ppm_acid_laurel.2019_08_05_11_33_40.cal"</f>
        <v>C:\TOC3201\CalCurves\Itamar\C_cal_100ppm_acid_laurel.2019_08_05_11_33_40.cal</v>
      </c>
      <c r="G142">
        <v>1</v>
      </c>
      <c r="H142" t="str">
        <f>""</f>
        <v/>
      </c>
      <c r="I142" t="str">
        <f>"8/5/2019 6:45:44 PM"</f>
        <v>8/5/2019 6:45:44 PM</v>
      </c>
      <c r="J142" t="str">
        <f>"1"</f>
        <v>1</v>
      </c>
      <c r="K142" t="str">
        <f>"3"</f>
        <v>3</v>
      </c>
      <c r="L142" t="str">
        <f>"NPOC"</f>
        <v>NPOC</v>
      </c>
      <c r="M142" t="str">
        <f>"41.62"</f>
        <v>41.62</v>
      </c>
      <c r="N142" t="str">
        <f>"8.605"</f>
        <v>8.605</v>
      </c>
      <c r="O142" t="str">
        <f>"NPOC:8.153mg/L TN:0.7978mg/L"</f>
        <v>NPOC:8.153mg/L TN:0.7978mg/L</v>
      </c>
      <c r="P142">
        <v>1</v>
      </c>
      <c r="Q142" t="str">
        <f>"80"</f>
        <v>80</v>
      </c>
    </row>
    <row r="143" spans="1:17" x14ac:dyDescent="0.2">
      <c r="A143" t="str">
        <f>"Unknown"</f>
        <v>Unknown</v>
      </c>
      <c r="B143" t="str">
        <f>"NPOC/TN"</f>
        <v>NPOC/TN</v>
      </c>
      <c r="C143" t="str">
        <f>"1044"</f>
        <v>1044</v>
      </c>
      <c r="D143" t="str">
        <f>"DI"</f>
        <v>DI</v>
      </c>
      <c r="E143" t="str">
        <f>"C:\TOC3201\Methods\Itamar\acid_sample.met"</f>
        <v>C:\TOC3201\Methods\Itamar\acid_sample.met</v>
      </c>
      <c r="F143" t="str">
        <f>"C:\TOC3201\CalCurves\Itamar\C_cal_100ppm_acid_laurel.2019_08_05_11_33_40.cal"</f>
        <v>C:\TOC3201\CalCurves\Itamar\C_cal_100ppm_acid_laurel.2019_08_05_11_33_40.cal</v>
      </c>
      <c r="G143">
        <v>1</v>
      </c>
      <c r="H143" t="str">
        <f>""</f>
        <v/>
      </c>
      <c r="I143" t="str">
        <f>"8/5/2019 6:48:53 PM"</f>
        <v>8/5/2019 6:48:53 PM</v>
      </c>
      <c r="J143" t="str">
        <f>"1"</f>
        <v>1</v>
      </c>
      <c r="K143" t="str">
        <f>"4"</f>
        <v>4</v>
      </c>
      <c r="L143" t="str">
        <f>"NPOC"</f>
        <v>NPOC</v>
      </c>
      <c r="M143" t="str">
        <f>"39.86"</f>
        <v>39.86</v>
      </c>
      <c r="N143" t="str">
        <f>"8.259"</f>
        <v>8.259</v>
      </c>
      <c r="O143" t="str">
        <f>"NPOC:8.153mg/L TN:0.7978mg/L"</f>
        <v>NPOC:8.153mg/L TN:0.7978mg/L</v>
      </c>
      <c r="P143">
        <v>0</v>
      </c>
      <c r="Q143" t="str">
        <f>"80"</f>
        <v>80</v>
      </c>
    </row>
    <row r="144" spans="1:17" x14ac:dyDescent="0.2">
      <c r="A144" t="str">
        <f>"Unknown"</f>
        <v>Unknown</v>
      </c>
      <c r="B144" t="str">
        <f>"NPOC/TN"</f>
        <v>NPOC/TN</v>
      </c>
      <c r="C144" t="str">
        <f>"1044"</f>
        <v>1044</v>
      </c>
      <c r="D144" t="str">
        <f>"DI"</f>
        <v>DI</v>
      </c>
      <c r="E144" t="str">
        <f>"C:\TOC3201\Methods\Itamar\acid_sample.met"</f>
        <v>C:\TOC3201\Methods\Itamar\acid_sample.met</v>
      </c>
      <c r="F144" t="str">
        <f>"C:\TOC3201\CalCurves\Itamar\N_cal_25ppm_acid_laurel.2019_08_05_13_35_26.cal"</f>
        <v>C:\TOC3201\CalCurves\Itamar\N_cal_25ppm_acid_laurel.2019_08_05_13_35_26.cal</v>
      </c>
      <c r="G144">
        <v>1</v>
      </c>
      <c r="H144" t="str">
        <f>""</f>
        <v/>
      </c>
      <c r="I144" t="str">
        <f>"8/5/2019 6:39:19 PM"</f>
        <v>8/5/2019 6:39:19 PM</v>
      </c>
      <c r="J144" t="str">
        <f>"1"</f>
        <v>1</v>
      </c>
      <c r="K144" t="str">
        <f>"1"</f>
        <v>1</v>
      </c>
      <c r="L144" t="str">
        <f>"TN"</f>
        <v>TN</v>
      </c>
      <c r="M144" t="str">
        <f>"3.088"</f>
        <v>3.088</v>
      </c>
      <c r="N144" t="str">
        <f>"0.7630"</f>
        <v>0.7630</v>
      </c>
      <c r="O144" t="str">
        <f>"NPOC:8.153mg/L TN:0.7978mg/L"</f>
        <v>NPOC:8.153mg/L TN:0.7978mg/L</v>
      </c>
      <c r="P144">
        <v>0</v>
      </c>
      <c r="Q144" t="str">
        <f>"80"</f>
        <v>80</v>
      </c>
    </row>
    <row r="145" spans="1:17" x14ac:dyDescent="0.2">
      <c r="A145" t="str">
        <f>"Unknown"</f>
        <v>Unknown</v>
      </c>
      <c r="B145" t="str">
        <f>"NPOC/TN"</f>
        <v>NPOC/TN</v>
      </c>
      <c r="C145" t="str">
        <f>"1044"</f>
        <v>1044</v>
      </c>
      <c r="D145" t="str">
        <f>"DI"</f>
        <v>DI</v>
      </c>
      <c r="E145" t="str">
        <f>"C:\TOC3201\Methods\Itamar\acid_sample.met"</f>
        <v>C:\TOC3201\Methods\Itamar\acid_sample.met</v>
      </c>
      <c r="F145" t="str">
        <f>"C:\TOC3201\CalCurves\Itamar\N_cal_25ppm_acid_laurel.2019_08_05_13_35_26.cal"</f>
        <v>C:\TOC3201\CalCurves\Itamar\N_cal_25ppm_acid_laurel.2019_08_05_13_35_26.cal</v>
      </c>
      <c r="G145">
        <v>1</v>
      </c>
      <c r="H145" t="str">
        <f>""</f>
        <v/>
      </c>
      <c r="I145" t="str">
        <f>"8/5/2019 6:42:31 PM"</f>
        <v>8/5/2019 6:42:31 PM</v>
      </c>
      <c r="J145" t="str">
        <f>"1"</f>
        <v>1</v>
      </c>
      <c r="K145" t="str">
        <f>"2"</f>
        <v>2</v>
      </c>
      <c r="L145" t="str">
        <f>"TN"</f>
        <v>TN</v>
      </c>
      <c r="M145" t="str">
        <f>"3.450"</f>
        <v>3.450</v>
      </c>
      <c r="N145" t="str">
        <f>"0.8429"</f>
        <v>0.8429</v>
      </c>
      <c r="O145" t="str">
        <f>"NPOC:8.153mg/L TN:0.7978mg/L"</f>
        <v>NPOC:8.153mg/L TN:0.7978mg/L</v>
      </c>
      <c r="P145">
        <v>0</v>
      </c>
      <c r="Q145" t="str">
        <f>"80"</f>
        <v>80</v>
      </c>
    </row>
    <row r="146" spans="1:17" x14ac:dyDescent="0.2">
      <c r="A146" t="str">
        <f>"Unknown"</f>
        <v>Unknown</v>
      </c>
      <c r="B146" t="str">
        <f>"NPOC/TN"</f>
        <v>NPOC/TN</v>
      </c>
      <c r="C146" t="str">
        <f>"1044"</f>
        <v>1044</v>
      </c>
      <c r="D146" t="str">
        <f>"DI"</f>
        <v>DI</v>
      </c>
      <c r="E146" t="str">
        <f>"C:\TOC3201\Methods\Itamar\acid_sample.met"</f>
        <v>C:\TOC3201\Methods\Itamar\acid_sample.met</v>
      </c>
      <c r="F146" t="str">
        <f>"C:\TOC3201\CalCurves\Itamar\N_cal_25ppm_acid_laurel.2019_08_05_13_35_26.cal"</f>
        <v>C:\TOC3201\CalCurves\Itamar\N_cal_25ppm_acid_laurel.2019_08_05_13_35_26.cal</v>
      </c>
      <c r="G146">
        <v>1</v>
      </c>
      <c r="H146" t="str">
        <f>""</f>
        <v/>
      </c>
      <c r="I146" t="str">
        <f>"8/5/2019 6:45:44 PM"</f>
        <v>8/5/2019 6:45:44 PM</v>
      </c>
      <c r="J146" t="str">
        <f>"1"</f>
        <v>1</v>
      </c>
      <c r="K146" t="str">
        <f>"3"</f>
        <v>3</v>
      </c>
      <c r="L146" t="str">
        <f>"TN"</f>
        <v>TN</v>
      </c>
      <c r="M146" t="str">
        <f>"3.727"</f>
        <v>3.727</v>
      </c>
      <c r="N146" t="str">
        <f>"0.9041"</f>
        <v>0.9041</v>
      </c>
      <c r="O146" t="str">
        <f>"NPOC:8.153mg/L TN:0.7978mg/L"</f>
        <v>NPOC:8.153mg/L TN:0.7978mg/L</v>
      </c>
      <c r="P146">
        <v>1</v>
      </c>
      <c r="Q146" t="str">
        <f>"80"</f>
        <v>80</v>
      </c>
    </row>
    <row r="147" spans="1:17" x14ac:dyDescent="0.2">
      <c r="A147" t="str">
        <f>"Unknown"</f>
        <v>Unknown</v>
      </c>
      <c r="B147" t="str">
        <f>"NPOC/TN"</f>
        <v>NPOC/TN</v>
      </c>
      <c r="C147" t="str">
        <f>"1044"</f>
        <v>1044</v>
      </c>
      <c r="D147" t="str">
        <f>"DI"</f>
        <v>DI</v>
      </c>
      <c r="E147" t="str">
        <f>"C:\TOC3201\Methods\Itamar\acid_sample.met"</f>
        <v>C:\TOC3201\Methods\Itamar\acid_sample.met</v>
      </c>
      <c r="F147" t="str">
        <f>"C:\TOC3201\CalCurves\Itamar\N_cal_25ppm_acid_laurel.2019_08_05_13_35_26.cal"</f>
        <v>C:\TOC3201\CalCurves\Itamar\N_cal_25ppm_acid_laurel.2019_08_05_13_35_26.cal</v>
      </c>
      <c r="G147">
        <v>1</v>
      </c>
      <c r="H147" t="str">
        <f>""</f>
        <v/>
      </c>
      <c r="I147" t="str">
        <f>"8/5/2019 6:48:53 PM"</f>
        <v>8/5/2019 6:48:53 PM</v>
      </c>
      <c r="J147" t="str">
        <f>"1"</f>
        <v>1</v>
      </c>
      <c r="K147" t="str">
        <f>"4"</f>
        <v>4</v>
      </c>
      <c r="L147" t="str">
        <f>"TN"</f>
        <v>TN</v>
      </c>
      <c r="M147" t="str">
        <f>"3.872"</f>
        <v>3.872</v>
      </c>
      <c r="N147" t="str">
        <f>"0.9361"</f>
        <v>0.9361</v>
      </c>
      <c r="O147" t="str">
        <f>"NPOC:8.153mg/L TN:0.7978mg/L"</f>
        <v>NPOC:8.153mg/L TN:0.7978mg/L</v>
      </c>
      <c r="P147">
        <v>1</v>
      </c>
      <c r="Q147" t="str">
        <f>"80"</f>
        <v>80</v>
      </c>
    </row>
    <row r="148" spans="1:17" x14ac:dyDescent="0.2">
      <c r="A148" t="str">
        <f>"Unknown"</f>
        <v>Unknown</v>
      </c>
      <c r="B148" t="str">
        <f>"NPOC/TN"</f>
        <v>NPOC/TN</v>
      </c>
      <c r="C148" t="str">
        <f>"1044"</f>
        <v>1044</v>
      </c>
      <c r="D148" t="str">
        <f>"DI"</f>
        <v>DI</v>
      </c>
      <c r="E148" t="str">
        <f>"C:\TOC3201\Methods\Itamar\acid_sample.met"</f>
        <v>C:\TOC3201\Methods\Itamar\acid_sample.met</v>
      </c>
      <c r="F148" t="str">
        <f>"C:\TOC3201\CalCurves\Itamar\N_cal_25ppm_acid_laurel.2019_08_05_13_35_26.cal"</f>
        <v>C:\TOC3201\CalCurves\Itamar\N_cal_25ppm_acid_laurel.2019_08_05_13_35_26.cal</v>
      </c>
      <c r="G148">
        <v>1</v>
      </c>
      <c r="H148" t="str">
        <f>""</f>
        <v/>
      </c>
      <c r="I148" t="str">
        <f>"8/5/2019 6:51:36 PM"</f>
        <v>8/5/2019 6:51:36 PM</v>
      </c>
      <c r="J148" t="str">
        <f>"1"</f>
        <v>1</v>
      </c>
      <c r="K148" t="str">
        <f>"5"</f>
        <v>5</v>
      </c>
      <c r="L148" t="str">
        <f>"TN"</f>
        <v>TN</v>
      </c>
      <c r="M148" t="str">
        <f>"3.198"</f>
        <v>3.198</v>
      </c>
      <c r="N148" t="str">
        <f>"0.7873"</f>
        <v>0.7873</v>
      </c>
      <c r="O148" t="str">
        <f>"NPOC:8.153mg/L TN:0.7978mg/L"</f>
        <v>NPOC:8.153mg/L TN:0.7978mg/L</v>
      </c>
      <c r="P148">
        <v>0</v>
      </c>
      <c r="Q148" t="str">
        <f>"80"</f>
        <v>80</v>
      </c>
    </row>
    <row r="149" spans="1:17" x14ac:dyDescent="0.2">
      <c r="A149" t="str">
        <f>"Unknown"</f>
        <v>Unknown</v>
      </c>
      <c r="B149" t="str">
        <f>"NPOC/TN"</f>
        <v>NPOC/TN</v>
      </c>
      <c r="C149" t="str">
        <f>"25ppm"</f>
        <v>25ppm</v>
      </c>
      <c r="D149" t="str">
        <f>"25ppm"</f>
        <v>25ppm</v>
      </c>
      <c r="E149" t="str">
        <f>"C:\TOC3201\Methods\Itamar\acid_sample.met"</f>
        <v>C:\TOC3201\Methods\Itamar\acid_sample.met</v>
      </c>
      <c r="F149" t="str">
        <f>"C:\TOC3201\CalCurves\Itamar\C_cal_100ppm_acid_laurel.2019_08_05_11_33_40.cal"</f>
        <v>C:\TOC3201\CalCurves\Itamar\C_cal_100ppm_acid_laurel.2019_08_05_11_33_40.cal</v>
      </c>
      <c r="G149">
        <v>1</v>
      </c>
      <c r="H149" t="str">
        <f>""</f>
        <v/>
      </c>
      <c r="I149" t="str">
        <f>"8/5/2019 7:02:40 PM"</f>
        <v>8/5/2019 7:02:40 PM</v>
      </c>
      <c r="J149" t="str">
        <f>"1"</f>
        <v>1</v>
      </c>
      <c r="K149" t="str">
        <f>"1"</f>
        <v>1</v>
      </c>
      <c r="L149" t="str">
        <f>"NPOC"</f>
        <v>NPOC</v>
      </c>
      <c r="M149" t="str">
        <f>"27.55"</f>
        <v>27.55</v>
      </c>
      <c r="N149" t="str">
        <f>"23.36"</f>
        <v>23.36</v>
      </c>
      <c r="O149" t="str">
        <f>"NPOC:23.26mg/L TN:22.81mg/L"</f>
        <v>NPOC:23.26mg/L TN:22.81mg/L</v>
      </c>
      <c r="P149">
        <v>0</v>
      </c>
      <c r="Q149" t="str">
        <f>"80"</f>
        <v>80</v>
      </c>
    </row>
    <row r="150" spans="1:17" x14ac:dyDescent="0.2">
      <c r="A150" t="str">
        <f>"Unknown"</f>
        <v>Unknown</v>
      </c>
      <c r="B150" t="str">
        <f>"NPOC/TN"</f>
        <v>NPOC/TN</v>
      </c>
      <c r="C150" t="str">
        <f>"25ppm"</f>
        <v>25ppm</v>
      </c>
      <c r="D150" t="str">
        <f>"25ppm"</f>
        <v>25ppm</v>
      </c>
      <c r="E150" t="str">
        <f>"C:\TOC3201\Methods\Itamar\acid_sample.met"</f>
        <v>C:\TOC3201\Methods\Itamar\acid_sample.met</v>
      </c>
      <c r="F150" t="str">
        <f>"C:\TOC3201\CalCurves\Itamar\C_cal_100ppm_acid_laurel.2019_08_05_11_33_40.cal"</f>
        <v>C:\TOC3201\CalCurves\Itamar\C_cal_100ppm_acid_laurel.2019_08_05_11_33_40.cal</v>
      </c>
      <c r="G150">
        <v>1</v>
      </c>
      <c r="H150" t="str">
        <f>""</f>
        <v/>
      </c>
      <c r="I150" t="str">
        <f>"8/5/2019 7:05:57 PM"</f>
        <v>8/5/2019 7:05:57 PM</v>
      </c>
      <c r="J150" t="str">
        <f>"1"</f>
        <v>1</v>
      </c>
      <c r="K150" t="str">
        <f>"2"</f>
        <v>2</v>
      </c>
      <c r="L150" t="str">
        <f>"NPOC"</f>
        <v>NPOC</v>
      </c>
      <c r="M150" t="str">
        <f>"27.24"</f>
        <v>27.24</v>
      </c>
      <c r="N150" t="str">
        <f>"23.12"</f>
        <v>23.12</v>
      </c>
      <c r="O150" t="str">
        <f>"NPOC:23.26mg/L TN:22.81mg/L"</f>
        <v>NPOC:23.26mg/L TN:22.81mg/L</v>
      </c>
      <c r="P150">
        <v>0</v>
      </c>
      <c r="Q150" t="str">
        <f>"80"</f>
        <v>80</v>
      </c>
    </row>
    <row r="151" spans="1:17" x14ac:dyDescent="0.2">
      <c r="A151" t="str">
        <f>"Unknown"</f>
        <v>Unknown</v>
      </c>
      <c r="B151" t="str">
        <f>"NPOC/TN"</f>
        <v>NPOC/TN</v>
      </c>
      <c r="C151" t="str">
        <f>"25ppm"</f>
        <v>25ppm</v>
      </c>
      <c r="D151" t="str">
        <f>"25ppm"</f>
        <v>25ppm</v>
      </c>
      <c r="E151" t="str">
        <f>"C:\TOC3201\Methods\Itamar\acid_sample.met"</f>
        <v>C:\TOC3201\Methods\Itamar\acid_sample.met</v>
      </c>
      <c r="F151" t="str">
        <f>"C:\TOC3201\CalCurves\Itamar\C_cal_100ppm_acid_laurel.2019_08_05_11_33_40.cal"</f>
        <v>C:\TOC3201\CalCurves\Itamar\C_cal_100ppm_acid_laurel.2019_08_05_11_33_40.cal</v>
      </c>
      <c r="G151">
        <v>1</v>
      </c>
      <c r="H151" t="str">
        <f>""</f>
        <v/>
      </c>
      <c r="I151" t="str">
        <f>"8/5/2019 7:09:26 PM"</f>
        <v>8/5/2019 7:09:26 PM</v>
      </c>
      <c r="J151" t="str">
        <f>"1"</f>
        <v>1</v>
      </c>
      <c r="K151" t="str">
        <f>"3"</f>
        <v>3</v>
      </c>
      <c r="L151" t="str">
        <f>"NPOC"</f>
        <v>NPOC</v>
      </c>
      <c r="M151" t="str">
        <f>"29.16"</f>
        <v>29.16</v>
      </c>
      <c r="N151" t="str">
        <f>"24.63"</f>
        <v>24.63</v>
      </c>
      <c r="O151" t="str">
        <f>"NPOC:23.26mg/L TN:22.81mg/L"</f>
        <v>NPOC:23.26mg/L TN:22.81mg/L</v>
      </c>
      <c r="P151">
        <v>1</v>
      </c>
      <c r="Q151" t="str">
        <f>"80"</f>
        <v>80</v>
      </c>
    </row>
    <row r="152" spans="1:17" x14ac:dyDescent="0.2">
      <c r="A152" t="str">
        <f>"Unknown"</f>
        <v>Unknown</v>
      </c>
      <c r="B152" t="str">
        <f>"NPOC/TN"</f>
        <v>NPOC/TN</v>
      </c>
      <c r="C152" t="str">
        <f>"25ppm"</f>
        <v>25ppm</v>
      </c>
      <c r="D152" t="str">
        <f>"25ppm"</f>
        <v>25ppm</v>
      </c>
      <c r="E152" t="str">
        <f>"C:\TOC3201\Methods\Itamar\acid_sample.met"</f>
        <v>C:\TOC3201\Methods\Itamar\acid_sample.met</v>
      </c>
      <c r="F152" t="str">
        <f>"C:\TOC3201\CalCurves\Itamar\C_cal_100ppm_acid_laurel.2019_08_05_11_33_40.cal"</f>
        <v>C:\TOC3201\CalCurves\Itamar\C_cal_100ppm_acid_laurel.2019_08_05_11_33_40.cal</v>
      </c>
      <c r="G152">
        <v>1</v>
      </c>
      <c r="H152" t="str">
        <f>""</f>
        <v/>
      </c>
      <c r="I152" t="str">
        <f>"8/5/2019 7:12:39 PM"</f>
        <v>8/5/2019 7:12:39 PM</v>
      </c>
      <c r="J152" t="str">
        <f>"1"</f>
        <v>1</v>
      </c>
      <c r="K152" t="str">
        <f>"4"</f>
        <v>4</v>
      </c>
      <c r="L152" t="str">
        <f>"NPOC"</f>
        <v>NPOC</v>
      </c>
      <c r="M152" t="str">
        <f>"28.62"</f>
        <v>28.62</v>
      </c>
      <c r="N152" t="str">
        <f>"24.20"</f>
        <v>24.20</v>
      </c>
      <c r="O152" t="str">
        <f>"NPOC:23.26mg/L TN:22.81mg/L"</f>
        <v>NPOC:23.26mg/L TN:22.81mg/L</v>
      </c>
      <c r="P152">
        <v>1</v>
      </c>
      <c r="Q152" t="str">
        <f>"80"</f>
        <v>80</v>
      </c>
    </row>
    <row r="153" spans="1:17" x14ac:dyDescent="0.2">
      <c r="A153" t="str">
        <f>"Unknown"</f>
        <v>Unknown</v>
      </c>
      <c r="B153" t="str">
        <f>"NPOC/TN"</f>
        <v>NPOC/TN</v>
      </c>
      <c r="C153" t="str">
        <f>"25ppm"</f>
        <v>25ppm</v>
      </c>
      <c r="D153" t="str">
        <f>"25ppm"</f>
        <v>25ppm</v>
      </c>
      <c r="E153" t="str">
        <f>"C:\TOC3201\Methods\Itamar\acid_sample.met"</f>
        <v>C:\TOC3201\Methods\Itamar\acid_sample.met</v>
      </c>
      <c r="F153" t="str">
        <f>"C:\TOC3201\CalCurves\Itamar\C_cal_100ppm_acid_laurel.2019_08_05_11_33_40.cal"</f>
        <v>C:\TOC3201\CalCurves\Itamar\C_cal_100ppm_acid_laurel.2019_08_05_11_33_40.cal</v>
      </c>
      <c r="G153">
        <v>1</v>
      </c>
      <c r="H153" t="str">
        <f>""</f>
        <v/>
      </c>
      <c r="I153" t="str">
        <f>"8/5/2019 7:15:31 PM"</f>
        <v>8/5/2019 7:15:31 PM</v>
      </c>
      <c r="J153" t="str">
        <f>"1"</f>
        <v>1</v>
      </c>
      <c r="K153" t="str">
        <f>"5"</f>
        <v>5</v>
      </c>
      <c r="L153" t="str">
        <f>"NPOC"</f>
        <v>NPOC</v>
      </c>
      <c r="M153" t="str">
        <f>"27.47"</f>
        <v>27.47</v>
      </c>
      <c r="N153" t="str">
        <f>"23.30"</f>
        <v>23.30</v>
      </c>
      <c r="O153" t="str">
        <f>"NPOC:23.26mg/L TN:22.81mg/L"</f>
        <v>NPOC:23.26mg/L TN:22.81mg/L</v>
      </c>
      <c r="P153">
        <v>0</v>
      </c>
      <c r="Q153" t="str">
        <f>"80"</f>
        <v>80</v>
      </c>
    </row>
    <row r="154" spans="1:17" x14ac:dyDescent="0.2">
      <c r="A154" t="str">
        <f>"Unknown"</f>
        <v>Unknown</v>
      </c>
      <c r="B154" t="str">
        <f>"NPOC/TN"</f>
        <v>NPOC/TN</v>
      </c>
      <c r="C154" t="str">
        <f>"25ppm"</f>
        <v>25ppm</v>
      </c>
      <c r="D154" t="str">
        <f>"25ppm"</f>
        <v>25ppm</v>
      </c>
      <c r="E154" t="str">
        <f>"C:\TOC3201\Methods\Itamar\acid_sample.met"</f>
        <v>C:\TOC3201\Methods\Itamar\acid_sample.met</v>
      </c>
      <c r="F154" t="str">
        <f>"C:\TOC3201\CalCurves\Itamar\N_cal_25ppm_acid_laurel.2019_08_05_13_35_26.cal"</f>
        <v>C:\TOC3201\CalCurves\Itamar\N_cal_25ppm_acid_laurel.2019_08_05_13_35_26.cal</v>
      </c>
      <c r="G154">
        <v>1</v>
      </c>
      <c r="H154" t="str">
        <f>""</f>
        <v/>
      </c>
      <c r="I154" t="str">
        <f>"8/5/2019 7:02:40 PM"</f>
        <v>8/5/2019 7:02:40 PM</v>
      </c>
      <c r="J154" t="str">
        <f>"1"</f>
        <v>1</v>
      </c>
      <c r="K154" t="str">
        <f>"1"</f>
        <v>1</v>
      </c>
      <c r="L154" t="str">
        <f>"TN"</f>
        <v>TN</v>
      </c>
      <c r="M154" t="str">
        <f>"25.47"</f>
        <v>25.47</v>
      </c>
      <c r="N154" t="str">
        <f>"22.81"</f>
        <v>22.81</v>
      </c>
      <c r="O154" t="str">
        <f>"NPOC:23.26mg/L TN:22.81mg/L"</f>
        <v>NPOC:23.26mg/L TN:22.81mg/L</v>
      </c>
      <c r="P154">
        <v>0</v>
      </c>
      <c r="Q154" t="str">
        <f>"80"</f>
        <v>80</v>
      </c>
    </row>
    <row r="155" spans="1:17" x14ac:dyDescent="0.2">
      <c r="A155" t="str">
        <f>"Unknown"</f>
        <v>Unknown</v>
      </c>
      <c r="B155" t="str">
        <f>"NPOC/TN"</f>
        <v>NPOC/TN</v>
      </c>
      <c r="C155" t="str">
        <f>"25ppm"</f>
        <v>25ppm</v>
      </c>
      <c r="D155" t="str">
        <f>"25ppm"</f>
        <v>25ppm</v>
      </c>
      <c r="E155" t="str">
        <f>"C:\TOC3201\Methods\Itamar\acid_sample.met"</f>
        <v>C:\TOC3201\Methods\Itamar\acid_sample.met</v>
      </c>
      <c r="F155" t="str">
        <f>"C:\TOC3201\CalCurves\Itamar\N_cal_25ppm_acid_laurel.2019_08_05_13_35_26.cal"</f>
        <v>C:\TOC3201\CalCurves\Itamar\N_cal_25ppm_acid_laurel.2019_08_05_13_35_26.cal</v>
      </c>
      <c r="G155">
        <v>1</v>
      </c>
      <c r="H155" t="str">
        <f>""</f>
        <v/>
      </c>
      <c r="I155" t="str">
        <f>"8/5/2019 7:05:57 PM"</f>
        <v>8/5/2019 7:05:57 PM</v>
      </c>
      <c r="J155" t="str">
        <f>"1"</f>
        <v>1</v>
      </c>
      <c r="K155" t="str">
        <f>"2"</f>
        <v>2</v>
      </c>
      <c r="L155" t="str">
        <f>"TN"</f>
        <v>TN</v>
      </c>
      <c r="M155" t="str">
        <f>"25.42"</f>
        <v>25.42</v>
      </c>
      <c r="N155" t="str">
        <f>"22.77"</f>
        <v>22.77</v>
      </c>
      <c r="O155" t="str">
        <f>"NPOC:23.26mg/L TN:22.81mg/L"</f>
        <v>NPOC:23.26mg/L TN:22.81mg/L</v>
      </c>
      <c r="P155">
        <v>0</v>
      </c>
      <c r="Q155" t="str">
        <f>"80"</f>
        <v>80</v>
      </c>
    </row>
    <row r="156" spans="1:17" x14ac:dyDescent="0.2">
      <c r="A156" t="str">
        <f>"Unknown"</f>
        <v>Unknown</v>
      </c>
      <c r="B156" t="str">
        <f>"NPOC/TN"</f>
        <v>NPOC/TN</v>
      </c>
      <c r="C156" t="str">
        <f>"25ppm"</f>
        <v>25ppm</v>
      </c>
      <c r="D156" t="str">
        <f>"25ppm"</f>
        <v>25ppm</v>
      </c>
      <c r="E156" t="str">
        <f>"C:\TOC3201\Methods\Itamar\acid_sample.met"</f>
        <v>C:\TOC3201\Methods\Itamar\acid_sample.met</v>
      </c>
      <c r="F156" t="str">
        <f>"C:\TOC3201\CalCurves\Itamar\N_cal_25ppm_acid_laurel.2019_08_05_13_35_26.cal"</f>
        <v>C:\TOC3201\CalCurves\Itamar\N_cal_25ppm_acid_laurel.2019_08_05_13_35_26.cal</v>
      </c>
      <c r="G156">
        <v>1</v>
      </c>
      <c r="H156" t="str">
        <f>""</f>
        <v/>
      </c>
      <c r="I156" t="str">
        <f>"8/5/2019 7:09:26 PM"</f>
        <v>8/5/2019 7:09:26 PM</v>
      </c>
      <c r="J156" t="str">
        <f>"1"</f>
        <v>1</v>
      </c>
      <c r="K156" t="str">
        <f>"3"</f>
        <v>3</v>
      </c>
      <c r="L156" t="str">
        <f>"TN"</f>
        <v>TN</v>
      </c>
      <c r="M156" t="str">
        <f>"26.85"</f>
        <v>26.85</v>
      </c>
      <c r="N156" t="str">
        <f>"24.03"</f>
        <v>24.03</v>
      </c>
      <c r="O156" t="str">
        <f>"NPOC:23.26mg/L TN:22.81mg/L"</f>
        <v>NPOC:23.26mg/L TN:22.81mg/L</v>
      </c>
      <c r="P156">
        <v>1</v>
      </c>
      <c r="Q156" t="str">
        <f>"80"</f>
        <v>80</v>
      </c>
    </row>
    <row r="157" spans="1:17" x14ac:dyDescent="0.2">
      <c r="A157" t="str">
        <f>"Unknown"</f>
        <v>Unknown</v>
      </c>
      <c r="B157" t="str">
        <f>"NPOC/TN"</f>
        <v>NPOC/TN</v>
      </c>
      <c r="C157" t="str">
        <f>"25ppm"</f>
        <v>25ppm</v>
      </c>
      <c r="D157" t="str">
        <f>"25ppm"</f>
        <v>25ppm</v>
      </c>
      <c r="E157" t="str">
        <f>"C:\TOC3201\Methods\Itamar\acid_sample.met"</f>
        <v>C:\TOC3201\Methods\Itamar\acid_sample.met</v>
      </c>
      <c r="F157" t="str">
        <f>"C:\TOC3201\CalCurves\Itamar\N_cal_25ppm_acid_laurel.2019_08_05_13_35_26.cal"</f>
        <v>C:\TOC3201\CalCurves\Itamar\N_cal_25ppm_acid_laurel.2019_08_05_13_35_26.cal</v>
      </c>
      <c r="G157">
        <v>1</v>
      </c>
      <c r="H157" t="str">
        <f>""</f>
        <v/>
      </c>
      <c r="I157" t="str">
        <f>"8/5/2019 7:12:39 PM"</f>
        <v>8/5/2019 7:12:39 PM</v>
      </c>
      <c r="J157" t="str">
        <f>"1"</f>
        <v>1</v>
      </c>
      <c r="K157" t="str">
        <f>"4"</f>
        <v>4</v>
      </c>
      <c r="L157" t="str">
        <f>"TN"</f>
        <v>TN</v>
      </c>
      <c r="M157" t="str">
        <f>"25.52"</f>
        <v>25.52</v>
      </c>
      <c r="N157" t="str">
        <f>"22.86"</f>
        <v>22.86</v>
      </c>
      <c r="O157" t="str">
        <f>"NPOC:23.26mg/L TN:22.81mg/L"</f>
        <v>NPOC:23.26mg/L TN:22.81mg/L</v>
      </c>
      <c r="P157">
        <v>0</v>
      </c>
      <c r="Q157" t="str">
        <f>"80"</f>
        <v>80</v>
      </c>
    </row>
    <row r="158" spans="1:17" x14ac:dyDescent="0.2">
      <c r="A158" t="str">
        <f>"Unknown"</f>
        <v>Unknown</v>
      </c>
      <c r="B158" t="str">
        <f>"NPOC/TN"</f>
        <v>NPOC/TN</v>
      </c>
      <c r="C158" t="str">
        <f>"DI"</f>
        <v>DI</v>
      </c>
      <c r="D158" t="str">
        <f>"DI"</f>
        <v>DI</v>
      </c>
      <c r="E158" t="str">
        <f>"C:\TOC3201\Methods\Itamar\acid_sample.met"</f>
        <v>C:\TOC3201\Methods\Itamar\acid_sample.met</v>
      </c>
      <c r="F158" t="str">
        <f>"C:\TOC3201\CalCurves\Itamar\C_cal_100ppm_acid_laurel.2019_08_05_11_33_40.cal"</f>
        <v>C:\TOC3201\CalCurves\Itamar\C_cal_100ppm_acid_laurel.2019_08_05_11_33_40.cal</v>
      </c>
      <c r="G158">
        <v>1</v>
      </c>
      <c r="H158" t="str">
        <f>""</f>
        <v/>
      </c>
      <c r="I158" t="str">
        <f>"8/5/2019 7:24:12 PM"</f>
        <v>8/5/2019 7:24:12 PM</v>
      </c>
      <c r="J158" t="str">
        <f>"1"</f>
        <v>1</v>
      </c>
      <c r="K158" t="str">
        <f>"1"</f>
        <v>1</v>
      </c>
      <c r="L158" t="str">
        <f>"NPOC"</f>
        <v>NPOC</v>
      </c>
      <c r="M158" t="str">
        <f>"1.036"</f>
        <v>1.036</v>
      </c>
      <c r="N158" t="str">
        <f>"0.6305"</f>
        <v>0.6305</v>
      </c>
      <c r="O158" t="str">
        <f>"NPOC:0.6286mg/L TN:0.08145mg/L"</f>
        <v>NPOC:0.6286mg/L TN:0.08145mg/L</v>
      </c>
      <c r="P158">
        <v>0</v>
      </c>
      <c r="Q158" t="str">
        <f>"80"</f>
        <v>80</v>
      </c>
    </row>
    <row r="159" spans="1:17" x14ac:dyDescent="0.2">
      <c r="A159" t="str">
        <f>"Unknown"</f>
        <v>Unknown</v>
      </c>
      <c r="B159" t="str">
        <f>"NPOC/TN"</f>
        <v>NPOC/TN</v>
      </c>
      <c r="C159" t="str">
        <f>"DI"</f>
        <v>DI</v>
      </c>
      <c r="D159" t="str">
        <f>"DI"</f>
        <v>DI</v>
      </c>
      <c r="E159" t="str">
        <f>"C:\TOC3201\Methods\Itamar\acid_sample.met"</f>
        <v>C:\TOC3201\Methods\Itamar\acid_sample.met</v>
      </c>
      <c r="F159" t="str">
        <f>"C:\TOC3201\CalCurves\Itamar\C_cal_100ppm_acid_laurel.2019_08_05_11_33_40.cal"</f>
        <v>C:\TOC3201\CalCurves\Itamar\C_cal_100ppm_acid_laurel.2019_08_05_11_33_40.cal</v>
      </c>
      <c r="G159">
        <v>1</v>
      </c>
      <c r="H159" t="str">
        <f>""</f>
        <v/>
      </c>
      <c r="I159" t="str">
        <f>"8/5/2019 7:26:28 PM"</f>
        <v>8/5/2019 7:26:28 PM</v>
      </c>
      <c r="J159" t="str">
        <f>"1"</f>
        <v>1</v>
      </c>
      <c r="K159" t="str">
        <f>"2"</f>
        <v>2</v>
      </c>
      <c r="L159" t="str">
        <f>"NPOC"</f>
        <v>NPOC</v>
      </c>
      <c r="M159" t="str">
        <f>"1.017"</f>
        <v>1.017</v>
      </c>
      <c r="N159" t="str">
        <f>"0.6267"</f>
        <v>0.6267</v>
      </c>
      <c r="O159" t="str">
        <f>"NPOC:0.6286mg/L TN:0.08145mg/L"</f>
        <v>NPOC:0.6286mg/L TN:0.08145mg/L</v>
      </c>
      <c r="P159">
        <v>0</v>
      </c>
      <c r="Q159" t="str">
        <f>"80"</f>
        <v>80</v>
      </c>
    </row>
    <row r="160" spans="1:17" x14ac:dyDescent="0.2">
      <c r="A160" t="str">
        <f>"Unknown"</f>
        <v>Unknown</v>
      </c>
      <c r="B160" t="str">
        <f>"NPOC/TN"</f>
        <v>NPOC/TN</v>
      </c>
      <c r="C160" t="str">
        <f>"DI"</f>
        <v>DI</v>
      </c>
      <c r="D160" t="str">
        <f>"DI"</f>
        <v>DI</v>
      </c>
      <c r="E160" t="str">
        <f>"C:\TOC3201\Methods\Itamar\acid_sample.met"</f>
        <v>C:\TOC3201\Methods\Itamar\acid_sample.met</v>
      </c>
      <c r="F160" t="str">
        <f>"C:\TOC3201\CalCurves\Itamar\C_cal_100ppm_acid_laurel.2019_08_05_11_33_40.cal"</f>
        <v>C:\TOC3201\CalCurves\Itamar\C_cal_100ppm_acid_laurel.2019_08_05_11_33_40.cal</v>
      </c>
      <c r="G160">
        <v>1</v>
      </c>
      <c r="H160" t="str">
        <f>""</f>
        <v/>
      </c>
      <c r="I160" t="str">
        <f>"8/5/2019 7:28:39 PM"</f>
        <v>8/5/2019 7:28:39 PM</v>
      </c>
      <c r="J160" t="str">
        <f>"1"</f>
        <v>1</v>
      </c>
      <c r="K160" t="str">
        <f>"3"</f>
        <v>3</v>
      </c>
      <c r="L160" t="str">
        <f>"NPOC"</f>
        <v>NPOC</v>
      </c>
      <c r="M160" t="str">
        <f>"1.026"</f>
        <v>1.026</v>
      </c>
      <c r="N160" t="str">
        <f>"0.6285"</f>
        <v>0.6285</v>
      </c>
      <c r="O160" t="str">
        <f>"NPOC:0.6286mg/L TN:0.08145mg/L"</f>
        <v>NPOC:0.6286mg/L TN:0.08145mg/L</v>
      </c>
      <c r="P160">
        <v>0</v>
      </c>
      <c r="Q160" t="str">
        <f>"80"</f>
        <v>80</v>
      </c>
    </row>
    <row r="161" spans="1:17" x14ac:dyDescent="0.2">
      <c r="A161" t="str">
        <f>"Unknown"</f>
        <v>Unknown</v>
      </c>
      <c r="B161" t="str">
        <f>"NPOC/TN"</f>
        <v>NPOC/TN</v>
      </c>
      <c r="C161" t="str">
        <f>"DI"</f>
        <v>DI</v>
      </c>
      <c r="D161" t="str">
        <f>"DI"</f>
        <v>DI</v>
      </c>
      <c r="E161" t="str">
        <f>"C:\TOC3201\Methods\Itamar\acid_sample.met"</f>
        <v>C:\TOC3201\Methods\Itamar\acid_sample.met</v>
      </c>
      <c r="F161" t="str">
        <f>"C:\TOC3201\CalCurves\Itamar\N_cal_25ppm_acid_laurel.2019_08_05_13_35_26.cal"</f>
        <v>C:\TOC3201\CalCurves\Itamar\N_cal_25ppm_acid_laurel.2019_08_05_13_35_26.cal</v>
      </c>
      <c r="G161">
        <v>1</v>
      </c>
      <c r="H161" t="str">
        <f>""</f>
        <v/>
      </c>
      <c r="I161" t="str">
        <f>"8/5/2019 7:24:12 PM"</f>
        <v>8/5/2019 7:24:12 PM</v>
      </c>
      <c r="J161" t="str">
        <f>"1"</f>
        <v>1</v>
      </c>
      <c r="K161" t="str">
        <f>"1"</f>
        <v>1</v>
      </c>
      <c r="L161" t="str">
        <f>"TN"</f>
        <v>TN</v>
      </c>
      <c r="M161" t="str">
        <f>"0.000"</f>
        <v>0.000</v>
      </c>
      <c r="N161" t="str">
        <f>"0.08145"</f>
        <v>0.08145</v>
      </c>
      <c r="O161" t="str">
        <f>"NPOC:0.6286mg/L TN:0.08145mg/L"</f>
        <v>NPOC:0.6286mg/L TN:0.08145mg/L</v>
      </c>
      <c r="P161">
        <v>0</v>
      </c>
      <c r="Q161" t="str">
        <f>"80"</f>
        <v>80</v>
      </c>
    </row>
    <row r="162" spans="1:17" x14ac:dyDescent="0.2">
      <c r="A162" t="str">
        <f>"Unknown"</f>
        <v>Unknown</v>
      </c>
      <c r="B162" t="str">
        <f>"NPOC/TN"</f>
        <v>NPOC/TN</v>
      </c>
      <c r="C162" t="str">
        <f>"DI"</f>
        <v>DI</v>
      </c>
      <c r="D162" t="str">
        <f>"DI"</f>
        <v>DI</v>
      </c>
      <c r="E162" t="str">
        <f>"C:\TOC3201\Methods\Itamar\acid_sample.met"</f>
        <v>C:\TOC3201\Methods\Itamar\acid_sample.met</v>
      </c>
      <c r="F162" t="str">
        <f>"C:\TOC3201\CalCurves\Itamar\N_cal_25ppm_acid_laurel.2019_08_05_13_35_26.cal"</f>
        <v>C:\TOC3201\CalCurves\Itamar\N_cal_25ppm_acid_laurel.2019_08_05_13_35_26.cal</v>
      </c>
      <c r="G162">
        <v>1</v>
      </c>
      <c r="H162" t="str">
        <f>""</f>
        <v/>
      </c>
      <c r="I162" t="str">
        <f>"8/5/2019 7:26:28 PM"</f>
        <v>8/5/2019 7:26:28 PM</v>
      </c>
      <c r="J162" t="str">
        <f>"1"</f>
        <v>1</v>
      </c>
      <c r="K162" t="str">
        <f>"2"</f>
        <v>2</v>
      </c>
      <c r="L162" t="str">
        <f>"TN"</f>
        <v>TN</v>
      </c>
      <c r="M162" t="str">
        <f>"0.000"</f>
        <v>0.000</v>
      </c>
      <c r="N162" t="str">
        <f>"0.08145"</f>
        <v>0.08145</v>
      </c>
      <c r="O162" t="str">
        <f>"NPOC:0.6286mg/L TN:0.08145mg/L"</f>
        <v>NPOC:0.6286mg/L TN:0.08145mg/L</v>
      </c>
      <c r="P162">
        <v>0</v>
      </c>
      <c r="Q162" t="str">
        <f>"80"</f>
        <v>80</v>
      </c>
    </row>
    <row r="163" spans="1:17" x14ac:dyDescent="0.2">
      <c r="A163" t="str">
        <f>"Unknown"</f>
        <v>Unknown</v>
      </c>
      <c r="B163" t="str">
        <f>"NPOC/TN"</f>
        <v>NPOC/TN</v>
      </c>
      <c r="C163" t="str">
        <f>"DI"</f>
        <v>DI</v>
      </c>
      <c r="D163" t="str">
        <f>"DI"</f>
        <v>DI</v>
      </c>
      <c r="E163" t="str">
        <f>"C:\TOC3201\Methods\Itamar\acid_sample.met"</f>
        <v>C:\TOC3201\Methods\Itamar\acid_sample.met</v>
      </c>
      <c r="F163" t="str">
        <f>"C:\TOC3201\CalCurves\Itamar\N_cal_25ppm_acid_laurel.2019_08_05_13_35_26.cal"</f>
        <v>C:\TOC3201\CalCurves\Itamar\N_cal_25ppm_acid_laurel.2019_08_05_13_35_26.cal</v>
      </c>
      <c r="G163">
        <v>1</v>
      </c>
      <c r="H163" t="str">
        <f>""</f>
        <v/>
      </c>
      <c r="I163" t="str">
        <f>"8/5/2019 7:28:39 PM"</f>
        <v>8/5/2019 7:28:39 PM</v>
      </c>
      <c r="J163" t="str">
        <f>"1"</f>
        <v>1</v>
      </c>
      <c r="K163" t="str">
        <f>"3"</f>
        <v>3</v>
      </c>
      <c r="L163" t="str">
        <f>"TN"</f>
        <v>TN</v>
      </c>
      <c r="M163" t="str">
        <f>"0.000"</f>
        <v>0.000</v>
      </c>
      <c r="N163" t="str">
        <f>"0.08145"</f>
        <v>0.08145</v>
      </c>
      <c r="O163" t="str">
        <f>"NPOC:0.6286mg/L TN:0.08145mg/L"</f>
        <v>NPOC:0.6286mg/L TN:0.08145mg/L</v>
      </c>
      <c r="P163">
        <v>0</v>
      </c>
      <c r="Q163" t="str">
        <f>"80"</f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5209-18A3-0E4D-851F-24F32E06C848}">
  <dimension ref="A1:M150"/>
  <sheetViews>
    <sheetView tabSelected="1" workbookViewId="0">
      <selection activeCell="N22" sqref="N22"/>
    </sheetView>
  </sheetViews>
  <sheetFormatPr baseColWidth="10" defaultRowHeight="16" x14ac:dyDescent="0.2"/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20</v>
      </c>
      <c r="H1" t="s">
        <v>2</v>
      </c>
      <c r="I1" t="s">
        <v>3</v>
      </c>
      <c r="J1" t="s">
        <v>4</v>
      </c>
      <c r="K1" t="s">
        <v>5</v>
      </c>
      <c r="L1" t="s">
        <v>20</v>
      </c>
    </row>
    <row r="2" spans="1:12" x14ac:dyDescent="0.2">
      <c r="A2" t="s">
        <v>7</v>
      </c>
      <c r="B2" t="s">
        <v>6</v>
      </c>
      <c r="C2" s="2">
        <v>9.2129999999999992</v>
      </c>
      <c r="D2" s="2">
        <v>2</v>
      </c>
      <c r="H2" t="s">
        <v>9</v>
      </c>
      <c r="I2" t="s">
        <v>8</v>
      </c>
      <c r="J2" s="2">
        <v>2.2829999999999999</v>
      </c>
      <c r="K2" s="2">
        <v>0.5</v>
      </c>
    </row>
    <row r="3" spans="1:12" x14ac:dyDescent="0.2">
      <c r="A3" t="s">
        <v>7</v>
      </c>
      <c r="B3" t="s">
        <v>6</v>
      </c>
      <c r="C3" s="2">
        <v>9.4640000000000004</v>
      </c>
      <c r="D3" s="2">
        <v>2</v>
      </c>
      <c r="H3" t="s">
        <v>9</v>
      </c>
      <c r="I3" t="s">
        <v>8</v>
      </c>
      <c r="J3" s="2">
        <v>2.3540000000000001</v>
      </c>
      <c r="K3" s="2">
        <v>0.5</v>
      </c>
    </row>
    <row r="4" spans="1:12" x14ac:dyDescent="0.2">
      <c r="A4" t="s">
        <v>7</v>
      </c>
      <c r="B4" t="s">
        <v>6</v>
      </c>
      <c r="C4" s="2">
        <v>9.1859999999999999</v>
      </c>
      <c r="D4" s="2">
        <v>2</v>
      </c>
      <c r="H4" t="s">
        <v>9</v>
      </c>
      <c r="I4" t="s">
        <v>8</v>
      </c>
      <c r="J4" s="2">
        <v>2.0569999999999999</v>
      </c>
      <c r="K4" s="2">
        <v>0.5</v>
      </c>
    </row>
    <row r="5" spans="1:12" x14ac:dyDescent="0.2">
      <c r="A5" t="s">
        <v>7</v>
      </c>
      <c r="B5" t="s">
        <v>6</v>
      </c>
      <c r="C5" s="2">
        <v>24.29</v>
      </c>
      <c r="D5" s="2">
        <v>5</v>
      </c>
      <c r="H5" t="s">
        <v>9</v>
      </c>
      <c r="I5" t="s">
        <v>8</v>
      </c>
      <c r="J5" s="2">
        <v>5.4279999999999999</v>
      </c>
      <c r="K5" s="2">
        <v>1</v>
      </c>
    </row>
    <row r="6" spans="1:12" x14ac:dyDescent="0.2">
      <c r="A6" t="s">
        <v>7</v>
      </c>
      <c r="B6" t="s">
        <v>6</v>
      </c>
      <c r="C6" s="2">
        <v>24.46</v>
      </c>
      <c r="D6" s="2">
        <v>5</v>
      </c>
      <c r="H6" t="s">
        <v>9</v>
      </c>
      <c r="I6" t="s">
        <v>8</v>
      </c>
      <c r="J6" s="2">
        <v>5.4240000000000004</v>
      </c>
      <c r="K6" s="2">
        <v>1</v>
      </c>
    </row>
    <row r="7" spans="1:12" x14ac:dyDescent="0.2">
      <c r="A7" t="s">
        <v>7</v>
      </c>
      <c r="B7" t="s">
        <v>6</v>
      </c>
      <c r="C7" s="2">
        <v>24.29</v>
      </c>
      <c r="D7" s="2">
        <v>5</v>
      </c>
      <c r="H7" t="s">
        <v>9</v>
      </c>
      <c r="I7" t="s">
        <v>8</v>
      </c>
      <c r="J7" s="2">
        <v>5.0999999999999996</v>
      </c>
      <c r="K7" s="2">
        <v>1</v>
      </c>
    </row>
    <row r="8" spans="1:12" x14ac:dyDescent="0.2">
      <c r="A8" t="s">
        <v>7</v>
      </c>
      <c r="B8" t="s">
        <v>6</v>
      </c>
      <c r="C8" s="2">
        <v>48.1</v>
      </c>
      <c r="D8" s="2">
        <v>10</v>
      </c>
      <c r="H8" t="s">
        <v>9</v>
      </c>
      <c r="I8" t="s">
        <v>8</v>
      </c>
      <c r="J8" s="2">
        <v>9.1359999999999992</v>
      </c>
      <c r="K8" s="2">
        <v>1.667</v>
      </c>
    </row>
    <row r="9" spans="1:12" x14ac:dyDescent="0.2">
      <c r="A9" t="s">
        <v>7</v>
      </c>
      <c r="B9" t="s">
        <v>6</v>
      </c>
      <c r="C9" s="2">
        <v>47.87</v>
      </c>
      <c r="D9" s="2">
        <v>10</v>
      </c>
      <c r="H9" t="s">
        <v>9</v>
      </c>
      <c r="I9" t="s">
        <v>8</v>
      </c>
      <c r="J9" s="2">
        <v>9.2059999999999995</v>
      </c>
      <c r="K9" s="2">
        <v>1.667</v>
      </c>
    </row>
    <row r="10" spans="1:12" x14ac:dyDescent="0.2">
      <c r="A10" t="s">
        <v>7</v>
      </c>
      <c r="B10" t="s">
        <v>6</v>
      </c>
      <c r="C10" s="2">
        <v>49.61</v>
      </c>
      <c r="D10" s="2">
        <v>10</v>
      </c>
      <c r="H10" t="s">
        <v>9</v>
      </c>
      <c r="I10" t="s">
        <v>8</v>
      </c>
      <c r="J10" s="2">
        <v>9.1170000000000009</v>
      </c>
      <c r="K10" s="2">
        <v>1.667</v>
      </c>
    </row>
    <row r="11" spans="1:12" x14ac:dyDescent="0.2">
      <c r="A11" t="s">
        <v>7</v>
      </c>
      <c r="B11" t="s">
        <v>6</v>
      </c>
      <c r="C11" s="2">
        <v>97.54</v>
      </c>
      <c r="D11" s="2">
        <v>20</v>
      </c>
      <c r="H11" t="s">
        <v>9</v>
      </c>
      <c r="I11" t="s">
        <v>8</v>
      </c>
      <c r="J11" s="2">
        <v>28.16</v>
      </c>
      <c r="K11" s="2">
        <v>5</v>
      </c>
    </row>
    <row r="12" spans="1:12" x14ac:dyDescent="0.2">
      <c r="A12" t="s">
        <v>7</v>
      </c>
      <c r="B12" t="s">
        <v>6</v>
      </c>
      <c r="C12" s="2">
        <v>98.93</v>
      </c>
      <c r="D12" s="2">
        <v>20</v>
      </c>
      <c r="H12" t="s">
        <v>9</v>
      </c>
      <c r="I12" t="s">
        <v>8</v>
      </c>
      <c r="J12" s="2">
        <v>27.89</v>
      </c>
      <c r="K12" s="2">
        <v>5</v>
      </c>
    </row>
    <row r="13" spans="1:12" x14ac:dyDescent="0.2">
      <c r="A13" t="s">
        <v>7</v>
      </c>
      <c r="B13" t="s">
        <v>6</v>
      </c>
      <c r="C13" s="2">
        <v>98.82</v>
      </c>
      <c r="D13" s="2">
        <v>20</v>
      </c>
      <c r="H13" t="s">
        <v>9</v>
      </c>
      <c r="I13" t="s">
        <v>8</v>
      </c>
      <c r="J13" s="2">
        <v>27.62</v>
      </c>
      <c r="K13" s="2">
        <v>5</v>
      </c>
    </row>
    <row r="14" spans="1:12" x14ac:dyDescent="0.2">
      <c r="A14" t="s">
        <v>7</v>
      </c>
      <c r="B14" t="s">
        <v>6</v>
      </c>
      <c r="C14" s="2">
        <v>246.9</v>
      </c>
      <c r="D14" s="2">
        <v>50</v>
      </c>
      <c r="H14" t="s">
        <v>9</v>
      </c>
      <c r="I14" t="s">
        <v>8</v>
      </c>
      <c r="J14" s="2">
        <v>70.709999999999994</v>
      </c>
      <c r="K14" s="2">
        <v>12.5</v>
      </c>
    </row>
    <row r="15" spans="1:12" x14ac:dyDescent="0.2">
      <c r="A15" t="s">
        <v>7</v>
      </c>
      <c r="B15" t="s">
        <v>6</v>
      </c>
      <c r="C15" s="2">
        <v>251.1</v>
      </c>
      <c r="D15" s="2">
        <v>50</v>
      </c>
      <c r="H15" t="s">
        <v>9</v>
      </c>
      <c r="I15" t="s">
        <v>8</v>
      </c>
      <c r="J15" s="2">
        <v>70.59</v>
      </c>
      <c r="K15" s="2">
        <v>12.5</v>
      </c>
    </row>
    <row r="16" spans="1:12" x14ac:dyDescent="0.2">
      <c r="A16" t="s">
        <v>7</v>
      </c>
      <c r="B16" t="s">
        <v>6</v>
      </c>
      <c r="C16" s="2">
        <v>252</v>
      </c>
      <c r="D16" s="2">
        <v>50</v>
      </c>
      <c r="H16" t="s">
        <v>9</v>
      </c>
      <c r="I16" t="s">
        <v>8</v>
      </c>
      <c r="J16" s="2">
        <v>68.709999999999994</v>
      </c>
      <c r="K16" s="2">
        <v>12.5</v>
      </c>
    </row>
    <row r="17" spans="1:13" x14ac:dyDescent="0.2">
      <c r="A17" t="s">
        <v>7</v>
      </c>
      <c r="B17" t="s">
        <v>6</v>
      </c>
      <c r="C17" s="2">
        <v>501</v>
      </c>
      <c r="D17" s="2">
        <v>100</v>
      </c>
      <c r="H17" t="s">
        <v>9</v>
      </c>
      <c r="I17" t="s">
        <v>8</v>
      </c>
      <c r="J17" s="2">
        <v>139.1</v>
      </c>
      <c r="K17" s="2">
        <v>25</v>
      </c>
    </row>
    <row r="18" spans="1:13" x14ac:dyDescent="0.2">
      <c r="A18" t="s">
        <v>7</v>
      </c>
      <c r="B18" t="s">
        <v>6</v>
      </c>
      <c r="C18" s="2">
        <v>514.79999999999995</v>
      </c>
      <c r="D18" s="2">
        <v>100</v>
      </c>
      <c r="H18" t="s">
        <v>9</v>
      </c>
      <c r="I18" t="s">
        <v>8</v>
      </c>
      <c r="J18" s="2">
        <v>142.5</v>
      </c>
      <c r="K18" s="2">
        <v>25</v>
      </c>
    </row>
    <row r="19" spans="1:13" x14ac:dyDescent="0.2">
      <c r="A19" t="s">
        <v>7</v>
      </c>
      <c r="B19" t="s">
        <v>6</v>
      </c>
      <c r="C19" s="2">
        <v>508.5</v>
      </c>
      <c r="D19" s="2">
        <v>100</v>
      </c>
      <c r="H19" t="s">
        <v>9</v>
      </c>
      <c r="I19" t="s">
        <v>8</v>
      </c>
      <c r="J19" s="2">
        <v>142.19999999999999</v>
      </c>
      <c r="K19" s="2">
        <v>25</v>
      </c>
    </row>
    <row r="20" spans="1:13" x14ac:dyDescent="0.2">
      <c r="A20" t="s">
        <v>10</v>
      </c>
      <c r="B20" t="s">
        <v>6</v>
      </c>
      <c r="C20" s="2">
        <v>29.51</v>
      </c>
      <c r="D20" s="2">
        <v>24.9</v>
      </c>
      <c r="E20">
        <f>(C20+2.1728)/5.0895</f>
        <v>6.2251301699577564</v>
      </c>
      <c r="F20">
        <f>E20*4</f>
        <v>24.900520679831025</v>
      </c>
      <c r="H20" t="s">
        <v>10</v>
      </c>
      <c r="I20" t="s">
        <v>8</v>
      </c>
      <c r="J20" s="2">
        <v>27.54</v>
      </c>
      <c r="K20" s="2">
        <v>24.64</v>
      </c>
      <c r="L20">
        <f>(J20+0.4613)/5.6634</f>
        <v>4.9442561005756263</v>
      </c>
      <c r="M20">
        <f>L20*5</f>
        <v>24.72128050287813</v>
      </c>
    </row>
    <row r="21" spans="1:13" x14ac:dyDescent="0.2">
      <c r="A21" t="s">
        <v>10</v>
      </c>
      <c r="B21" t="s">
        <v>6</v>
      </c>
      <c r="C21" s="2">
        <v>30.5</v>
      </c>
      <c r="D21" s="2">
        <v>25.68</v>
      </c>
      <c r="E21">
        <f t="shared" ref="E21:E55" si="0">(C21+2.1728)/5.0895</f>
        <v>6.4196482955103651</v>
      </c>
      <c r="F21">
        <f t="shared" ref="F21:F22" si="1">E21*4</f>
        <v>25.67859318204146</v>
      </c>
      <c r="H21" t="s">
        <v>10</v>
      </c>
      <c r="I21" t="s">
        <v>8</v>
      </c>
      <c r="J21" s="2">
        <v>26.68</v>
      </c>
      <c r="K21" s="2">
        <v>23.88</v>
      </c>
      <c r="L21">
        <f t="shared" ref="L21:L54" si="2">(J21+0.4613)/5.6634</f>
        <v>4.7924038563407141</v>
      </c>
      <c r="M21">
        <f t="shared" ref="M21:M22" si="3">L21*5</f>
        <v>23.962019281703569</v>
      </c>
    </row>
    <row r="22" spans="1:13" x14ac:dyDescent="0.2">
      <c r="A22" t="s">
        <v>10</v>
      </c>
      <c r="B22" t="s">
        <v>6</v>
      </c>
      <c r="C22" s="2">
        <v>30.24</v>
      </c>
      <c r="D22" s="2">
        <v>25.47</v>
      </c>
      <c r="E22">
        <f t="shared" si="0"/>
        <v>6.3685627271834164</v>
      </c>
      <c r="F22">
        <f t="shared" si="1"/>
        <v>25.474250908733666</v>
      </c>
      <c r="H22" t="s">
        <v>10</v>
      </c>
      <c r="I22" t="s">
        <v>8</v>
      </c>
      <c r="J22" s="2">
        <v>27.1</v>
      </c>
      <c r="K22" s="2">
        <v>24.25</v>
      </c>
      <c r="L22">
        <f t="shared" si="2"/>
        <v>4.8665642546879972</v>
      </c>
      <c r="M22">
        <f t="shared" si="3"/>
        <v>24.332821273439986</v>
      </c>
    </row>
    <row r="23" spans="1:13" x14ac:dyDescent="0.2">
      <c r="A23" t="s">
        <v>11</v>
      </c>
      <c r="B23" t="s">
        <v>6</v>
      </c>
      <c r="C23" s="2">
        <v>1.133</v>
      </c>
      <c r="D23" s="2">
        <v>0.64949999999999997</v>
      </c>
      <c r="E23">
        <f t="shared" si="0"/>
        <v>0.64953335298162884</v>
      </c>
      <c r="H23" t="s">
        <v>11</v>
      </c>
      <c r="I23" t="s">
        <v>8</v>
      </c>
      <c r="J23" s="2">
        <v>0</v>
      </c>
      <c r="K23" s="2">
        <v>8.1449999999999995E-2</v>
      </c>
      <c r="L23">
        <f t="shared" si="2"/>
        <v>8.1452837518098661E-2</v>
      </c>
    </row>
    <row r="24" spans="1:13" x14ac:dyDescent="0.2">
      <c r="A24" t="s">
        <v>11</v>
      </c>
      <c r="B24" t="s">
        <v>6</v>
      </c>
      <c r="C24" s="2">
        <v>0.9677</v>
      </c>
      <c r="D24" s="2">
        <v>0.61709999999999998</v>
      </c>
      <c r="E24">
        <f t="shared" si="0"/>
        <v>0.61705472050299637</v>
      </c>
      <c r="H24" t="s">
        <v>11</v>
      </c>
      <c r="I24" t="s">
        <v>8</v>
      </c>
      <c r="J24" s="2">
        <v>0</v>
      </c>
      <c r="K24" s="2">
        <v>8.1449999999999995E-2</v>
      </c>
      <c r="L24">
        <f t="shared" si="2"/>
        <v>8.1452837518098661E-2</v>
      </c>
    </row>
    <row r="25" spans="1:13" x14ac:dyDescent="0.2">
      <c r="A25" t="s">
        <v>11</v>
      </c>
      <c r="B25" t="s">
        <v>6</v>
      </c>
      <c r="C25" s="2">
        <v>1.0589999999999999</v>
      </c>
      <c r="D25" s="2">
        <v>0.63500000000000001</v>
      </c>
      <c r="E25">
        <f t="shared" si="0"/>
        <v>0.63499361430395906</v>
      </c>
      <c r="H25" t="s">
        <v>11</v>
      </c>
      <c r="I25" t="s">
        <v>8</v>
      </c>
      <c r="J25" s="2">
        <v>0</v>
      </c>
      <c r="K25" s="2">
        <v>8.1449999999999995E-2</v>
      </c>
      <c r="L25">
        <f t="shared" si="2"/>
        <v>8.1452837518098661E-2</v>
      </c>
    </row>
    <row r="26" spans="1:13" x14ac:dyDescent="0.2">
      <c r="A26" t="s">
        <v>12</v>
      </c>
      <c r="B26" t="s">
        <v>6</v>
      </c>
      <c r="C26" s="2">
        <v>22.77</v>
      </c>
      <c r="D26" s="2">
        <v>4.9009999999999998</v>
      </c>
      <c r="E26">
        <f t="shared" si="0"/>
        <v>4.9008350525591897</v>
      </c>
      <c r="H26" t="s">
        <v>12</v>
      </c>
      <c r="I26" t="s">
        <v>8</v>
      </c>
      <c r="J26" s="2">
        <v>2.93</v>
      </c>
      <c r="K26" s="2">
        <v>0.72819999999999996</v>
      </c>
      <c r="L26">
        <f t="shared" si="2"/>
        <v>0.59880990217890318</v>
      </c>
    </row>
    <row r="27" spans="1:13" x14ac:dyDescent="0.2">
      <c r="A27" t="s">
        <v>12</v>
      </c>
      <c r="B27" t="s">
        <v>6</v>
      </c>
      <c r="C27" s="2">
        <v>22.65</v>
      </c>
      <c r="D27" s="2">
        <v>4.8769999999999998</v>
      </c>
      <c r="E27">
        <f t="shared" si="0"/>
        <v>4.8772570979467522</v>
      </c>
      <c r="H27" t="s">
        <v>12</v>
      </c>
      <c r="I27" t="s">
        <v>8</v>
      </c>
      <c r="J27" s="2">
        <v>3.0609999999999999</v>
      </c>
      <c r="K27" s="2">
        <v>0.7571</v>
      </c>
      <c r="L27">
        <f t="shared" si="2"/>
        <v>0.62194088356817456</v>
      </c>
    </row>
    <row r="28" spans="1:13" x14ac:dyDescent="0.2">
      <c r="A28" t="s">
        <v>12</v>
      </c>
      <c r="B28" t="s">
        <v>6</v>
      </c>
      <c r="C28" s="2">
        <v>23.35</v>
      </c>
      <c r="D28" s="2">
        <v>5.0149999999999997</v>
      </c>
      <c r="E28">
        <f t="shared" si="0"/>
        <v>5.0147951665193045</v>
      </c>
      <c r="H28" t="s">
        <v>12</v>
      </c>
      <c r="I28" t="s">
        <v>8</v>
      </c>
      <c r="J28" s="2">
        <v>3.085</v>
      </c>
      <c r="K28" s="2">
        <v>0.76239999999999997</v>
      </c>
      <c r="L28">
        <f t="shared" si="2"/>
        <v>0.62617862061659069</v>
      </c>
    </row>
    <row r="29" spans="1:13" x14ac:dyDescent="0.2">
      <c r="A29" t="s">
        <v>13</v>
      </c>
      <c r="B29" t="s">
        <v>6</v>
      </c>
      <c r="C29" s="2">
        <v>19.899999999999999</v>
      </c>
      <c r="D29" s="2">
        <v>4.3369999999999997</v>
      </c>
      <c r="E29">
        <f t="shared" si="0"/>
        <v>4.3369289714117292</v>
      </c>
      <c r="H29" t="s">
        <v>13</v>
      </c>
      <c r="I29" t="s">
        <v>8</v>
      </c>
      <c r="J29" s="2">
        <v>1.292</v>
      </c>
      <c r="K29" s="2">
        <v>0.36659999999999998</v>
      </c>
      <c r="L29">
        <f t="shared" si="2"/>
        <v>0.30958434862450118</v>
      </c>
    </row>
    <row r="30" spans="1:13" x14ac:dyDescent="0.2">
      <c r="A30" t="s">
        <v>13</v>
      </c>
      <c r="B30" t="s">
        <v>6</v>
      </c>
      <c r="C30" s="2">
        <v>19.79</v>
      </c>
      <c r="D30" s="2">
        <v>4.3150000000000004</v>
      </c>
      <c r="E30">
        <f t="shared" si="0"/>
        <v>4.3153158463503285</v>
      </c>
      <c r="H30" t="s">
        <v>13</v>
      </c>
      <c r="I30" t="s">
        <v>8</v>
      </c>
      <c r="J30" s="2">
        <v>1.3859999999999999</v>
      </c>
      <c r="K30" s="2">
        <v>0.38740000000000002</v>
      </c>
      <c r="L30">
        <f t="shared" si="2"/>
        <v>0.32618215206413109</v>
      </c>
    </row>
    <row r="31" spans="1:13" x14ac:dyDescent="0.2">
      <c r="A31" t="s">
        <v>13</v>
      </c>
      <c r="B31" t="s">
        <v>6</v>
      </c>
      <c r="C31" s="2">
        <v>20.38</v>
      </c>
      <c r="D31" s="2">
        <v>4.431</v>
      </c>
      <c r="E31">
        <f t="shared" si="0"/>
        <v>4.4312407898614792</v>
      </c>
      <c r="H31" t="s">
        <v>13</v>
      </c>
      <c r="I31" t="s">
        <v>8</v>
      </c>
      <c r="J31" s="2">
        <v>1.385</v>
      </c>
      <c r="K31" s="2">
        <v>0.3871</v>
      </c>
      <c r="L31">
        <f t="shared" si="2"/>
        <v>0.32600557968711374</v>
      </c>
    </row>
    <row r="32" spans="1:13" x14ac:dyDescent="0.2">
      <c r="A32" t="s">
        <v>14</v>
      </c>
      <c r="B32" t="s">
        <v>6</v>
      </c>
      <c r="C32" s="2">
        <v>20.420000000000002</v>
      </c>
      <c r="D32" s="2">
        <v>4.4390000000000001</v>
      </c>
      <c r="E32">
        <f t="shared" si="0"/>
        <v>4.4391001080656256</v>
      </c>
      <c r="H32" t="s">
        <v>14</v>
      </c>
      <c r="I32" t="s">
        <v>8</v>
      </c>
      <c r="J32" s="2">
        <v>1.7589999999999999</v>
      </c>
      <c r="K32" s="2">
        <v>0.46970000000000001</v>
      </c>
      <c r="L32">
        <f t="shared" si="2"/>
        <v>0.39204364869159863</v>
      </c>
    </row>
    <row r="33" spans="1:12" x14ac:dyDescent="0.2">
      <c r="A33" t="s">
        <v>14</v>
      </c>
      <c r="B33" t="s">
        <v>6</v>
      </c>
      <c r="C33" s="2">
        <v>20.45</v>
      </c>
      <c r="D33" s="2">
        <v>4.4450000000000003</v>
      </c>
      <c r="E33">
        <f t="shared" si="0"/>
        <v>4.4449945967187343</v>
      </c>
      <c r="H33" t="s">
        <v>14</v>
      </c>
      <c r="I33" t="s">
        <v>8</v>
      </c>
      <c r="J33" s="2">
        <v>1.4550000000000001</v>
      </c>
      <c r="K33" s="2">
        <v>0.40260000000000001</v>
      </c>
      <c r="L33">
        <f t="shared" si="2"/>
        <v>0.33836564607832753</v>
      </c>
    </row>
    <row r="34" spans="1:12" x14ac:dyDescent="0.2">
      <c r="A34" t="s">
        <v>14</v>
      </c>
      <c r="B34" t="s">
        <v>6</v>
      </c>
      <c r="C34" s="2">
        <v>20.78</v>
      </c>
      <c r="D34" s="2">
        <v>4.51</v>
      </c>
      <c r="E34">
        <f t="shared" si="0"/>
        <v>4.5098339719029372</v>
      </c>
      <c r="H34" t="s">
        <v>14</v>
      </c>
      <c r="I34" t="s">
        <v>8</v>
      </c>
      <c r="J34" s="2">
        <v>1.6060000000000001</v>
      </c>
      <c r="K34" s="2">
        <v>0.43590000000000001</v>
      </c>
      <c r="L34">
        <f t="shared" si="2"/>
        <v>0.36502807500794571</v>
      </c>
    </row>
    <row r="35" spans="1:12" x14ac:dyDescent="0.2">
      <c r="A35" t="s">
        <v>15</v>
      </c>
      <c r="B35" t="s">
        <v>6</v>
      </c>
      <c r="C35" s="2">
        <v>19.03</v>
      </c>
      <c r="D35" s="2">
        <v>4.1660000000000004</v>
      </c>
      <c r="E35">
        <f t="shared" si="0"/>
        <v>4.1659888004715588</v>
      </c>
      <c r="H35" t="s">
        <v>15</v>
      </c>
      <c r="I35" t="s">
        <v>8</v>
      </c>
      <c r="J35" s="2">
        <v>1.5649999999999999</v>
      </c>
      <c r="K35" s="2">
        <v>0.4269</v>
      </c>
      <c r="L35">
        <f t="shared" si="2"/>
        <v>0.35778860755023484</v>
      </c>
    </row>
    <row r="36" spans="1:12" x14ac:dyDescent="0.2">
      <c r="A36" t="s">
        <v>15</v>
      </c>
      <c r="B36" t="s">
        <v>6</v>
      </c>
      <c r="C36" s="2">
        <v>19.12</v>
      </c>
      <c r="D36" s="2">
        <v>4.1840000000000002</v>
      </c>
      <c r="E36">
        <f t="shared" si="0"/>
        <v>4.1836722664308867</v>
      </c>
      <c r="H36" t="s">
        <v>15</v>
      </c>
      <c r="I36" t="s">
        <v>8</v>
      </c>
      <c r="J36" s="2">
        <v>1.587</v>
      </c>
      <c r="K36" s="2">
        <v>0.43169999999999997</v>
      </c>
      <c r="L36">
        <f t="shared" si="2"/>
        <v>0.36167319984461627</v>
      </c>
    </row>
    <row r="37" spans="1:12" x14ac:dyDescent="0.2">
      <c r="A37" t="s">
        <v>15</v>
      </c>
      <c r="B37" t="s">
        <v>6</v>
      </c>
      <c r="C37" s="2">
        <v>19.239999999999998</v>
      </c>
      <c r="D37" s="2">
        <v>4.2069999999999999</v>
      </c>
      <c r="E37">
        <f t="shared" si="0"/>
        <v>4.2072502210433242</v>
      </c>
      <c r="H37" t="s">
        <v>15</v>
      </c>
      <c r="I37" t="s">
        <v>8</v>
      </c>
      <c r="J37" s="2">
        <v>1.542</v>
      </c>
      <c r="K37" s="2">
        <v>0.42180000000000001</v>
      </c>
      <c r="L37">
        <f t="shared" si="2"/>
        <v>0.35372744287883601</v>
      </c>
    </row>
    <row r="38" spans="1:12" x14ac:dyDescent="0.2">
      <c r="A38" t="s">
        <v>16</v>
      </c>
      <c r="B38" t="s">
        <v>6</v>
      </c>
      <c r="C38" s="2">
        <v>53.23</v>
      </c>
      <c r="D38" s="2">
        <v>10.89</v>
      </c>
      <c r="E38">
        <f t="shared" si="0"/>
        <v>10.88570586501621</v>
      </c>
      <c r="H38" t="s">
        <v>16</v>
      </c>
      <c r="I38" t="s">
        <v>8</v>
      </c>
      <c r="J38" s="2">
        <v>6.5309999999999997</v>
      </c>
      <c r="K38" s="2">
        <v>1.5229999999999999</v>
      </c>
      <c r="L38">
        <f t="shared" si="2"/>
        <v>1.2346470318183422</v>
      </c>
    </row>
    <row r="39" spans="1:12" x14ac:dyDescent="0.2">
      <c r="A39" t="s">
        <v>16</v>
      </c>
      <c r="B39" t="s">
        <v>6</v>
      </c>
      <c r="C39" s="2">
        <v>52.25</v>
      </c>
      <c r="D39" s="2">
        <v>10.69</v>
      </c>
      <c r="E39">
        <f t="shared" si="0"/>
        <v>10.693152569014638</v>
      </c>
      <c r="H39" t="s">
        <v>16</v>
      </c>
      <c r="I39" t="s">
        <v>8</v>
      </c>
      <c r="J39" s="2">
        <v>6.383</v>
      </c>
      <c r="K39" s="2">
        <v>1.49</v>
      </c>
      <c r="L39">
        <f t="shared" si="2"/>
        <v>1.2085143200197761</v>
      </c>
    </row>
    <row r="40" spans="1:12" x14ac:dyDescent="0.2">
      <c r="A40" t="s">
        <v>16</v>
      </c>
      <c r="B40" t="s">
        <v>6</v>
      </c>
      <c r="C40" s="2">
        <v>53.75</v>
      </c>
      <c r="D40" s="2">
        <v>10.99</v>
      </c>
      <c r="E40">
        <f t="shared" si="0"/>
        <v>10.987877001670105</v>
      </c>
      <c r="H40" t="s">
        <v>16</v>
      </c>
      <c r="I40" t="s">
        <v>8</v>
      </c>
      <c r="J40" s="2">
        <v>6.2169999999999996</v>
      </c>
      <c r="K40" s="2">
        <v>1.454</v>
      </c>
      <c r="L40">
        <f t="shared" si="2"/>
        <v>1.1792033054348976</v>
      </c>
    </row>
    <row r="41" spans="1:12" x14ac:dyDescent="0.2">
      <c r="A41" t="s">
        <v>17</v>
      </c>
      <c r="B41" t="s">
        <v>6</v>
      </c>
      <c r="C41" s="2">
        <v>36.85</v>
      </c>
      <c r="D41" s="2">
        <v>7.6669999999999998</v>
      </c>
      <c r="E41">
        <f t="shared" si="0"/>
        <v>7.6673150604185096</v>
      </c>
      <c r="H41" t="s">
        <v>17</v>
      </c>
      <c r="I41" t="s">
        <v>8</v>
      </c>
      <c r="J41" s="2">
        <v>3.6360000000000001</v>
      </c>
      <c r="K41" s="2">
        <v>0.88400000000000001</v>
      </c>
      <c r="L41">
        <f t="shared" si="2"/>
        <v>0.72347000035314468</v>
      </c>
    </row>
    <row r="42" spans="1:12" x14ac:dyDescent="0.2">
      <c r="A42" t="s">
        <v>17</v>
      </c>
      <c r="B42" t="s">
        <v>6</v>
      </c>
      <c r="C42" s="2">
        <v>36.590000000000003</v>
      </c>
      <c r="D42" s="2">
        <v>7.6159999999999997</v>
      </c>
      <c r="E42">
        <f t="shared" si="0"/>
        <v>7.6162294920915619</v>
      </c>
      <c r="H42" t="s">
        <v>17</v>
      </c>
      <c r="I42" t="s">
        <v>8</v>
      </c>
      <c r="J42" s="2">
        <v>3.738</v>
      </c>
      <c r="K42" s="2">
        <v>0.90649999999999997</v>
      </c>
      <c r="L42">
        <f t="shared" si="2"/>
        <v>0.74148038280891337</v>
      </c>
    </row>
    <row r="43" spans="1:12" x14ac:dyDescent="0.2">
      <c r="A43" t="s">
        <v>17</v>
      </c>
      <c r="B43" t="s">
        <v>6</v>
      </c>
      <c r="C43" s="2">
        <v>36.4</v>
      </c>
      <c r="D43" s="2">
        <v>7.5789999999999997</v>
      </c>
      <c r="E43">
        <f t="shared" si="0"/>
        <v>7.5788977306218683</v>
      </c>
      <c r="H43" t="s">
        <v>17</v>
      </c>
      <c r="I43" t="s">
        <v>8</v>
      </c>
      <c r="J43" s="2">
        <v>3.6040000000000001</v>
      </c>
      <c r="K43" s="2">
        <v>0.87690000000000001</v>
      </c>
      <c r="L43">
        <f t="shared" si="2"/>
        <v>0.71781968428858978</v>
      </c>
    </row>
    <row r="44" spans="1:12" x14ac:dyDescent="0.2">
      <c r="A44" t="s">
        <v>18</v>
      </c>
      <c r="B44" t="s">
        <v>6</v>
      </c>
      <c r="C44" s="2">
        <v>37.11</v>
      </c>
      <c r="D44" s="2">
        <v>7.718</v>
      </c>
      <c r="E44">
        <f t="shared" si="0"/>
        <v>7.7184006287454565</v>
      </c>
      <c r="H44" t="s">
        <v>18</v>
      </c>
      <c r="I44" t="s">
        <v>8</v>
      </c>
      <c r="J44" s="2">
        <v>2.9910000000000001</v>
      </c>
      <c r="K44" s="2">
        <v>0.74160000000000004</v>
      </c>
      <c r="L44">
        <f t="shared" si="2"/>
        <v>0.60958081717696089</v>
      </c>
    </row>
    <row r="45" spans="1:12" x14ac:dyDescent="0.2">
      <c r="A45" t="s">
        <v>18</v>
      </c>
      <c r="B45" t="s">
        <v>6</v>
      </c>
      <c r="C45" s="2">
        <v>36.72</v>
      </c>
      <c r="D45" s="2">
        <v>7.6420000000000003</v>
      </c>
      <c r="E45">
        <f t="shared" si="0"/>
        <v>7.6417722762550353</v>
      </c>
      <c r="H45" t="s">
        <v>18</v>
      </c>
      <c r="I45" t="s">
        <v>8</v>
      </c>
      <c r="J45" s="2">
        <v>3.1389999999999998</v>
      </c>
      <c r="K45" s="2">
        <v>0.77429999999999999</v>
      </c>
      <c r="L45">
        <f t="shared" si="2"/>
        <v>0.63571352897552702</v>
      </c>
    </row>
    <row r="46" spans="1:12" x14ac:dyDescent="0.2">
      <c r="A46" t="s">
        <v>18</v>
      </c>
      <c r="B46" t="s">
        <v>6</v>
      </c>
      <c r="C46" s="2">
        <v>36.14</v>
      </c>
      <c r="D46" s="2">
        <v>7.5279999999999996</v>
      </c>
      <c r="E46">
        <f t="shared" si="0"/>
        <v>7.5278121622949214</v>
      </c>
      <c r="H46" t="s">
        <v>18</v>
      </c>
      <c r="I46" t="s">
        <v>8</v>
      </c>
      <c r="J46" s="2">
        <v>3.1539999999999999</v>
      </c>
      <c r="K46" s="2">
        <v>0.77759999999999996</v>
      </c>
      <c r="L46">
        <f t="shared" si="2"/>
        <v>0.63836211463078718</v>
      </c>
    </row>
    <row r="47" spans="1:12" x14ac:dyDescent="0.2">
      <c r="A47" t="s">
        <v>19</v>
      </c>
      <c r="B47" t="s">
        <v>6</v>
      </c>
      <c r="C47" s="2">
        <v>39.159999999999997</v>
      </c>
      <c r="D47" s="2">
        <v>8.1210000000000004</v>
      </c>
      <c r="E47">
        <f t="shared" si="0"/>
        <v>8.1211906867079282</v>
      </c>
      <c r="H47" t="s">
        <v>19</v>
      </c>
      <c r="I47" t="s">
        <v>8</v>
      </c>
      <c r="J47" s="2">
        <v>3.0880000000000001</v>
      </c>
      <c r="K47" s="2">
        <v>0.76300000000000001</v>
      </c>
      <c r="L47">
        <f t="shared" si="2"/>
        <v>0.62670833774764279</v>
      </c>
    </row>
    <row r="48" spans="1:12" x14ac:dyDescent="0.2">
      <c r="A48" t="s">
        <v>19</v>
      </c>
      <c r="B48" t="s">
        <v>6</v>
      </c>
      <c r="C48" s="2">
        <v>38.950000000000003</v>
      </c>
      <c r="D48" s="2">
        <v>8.08</v>
      </c>
      <c r="E48">
        <f t="shared" si="0"/>
        <v>8.0799292661361637</v>
      </c>
      <c r="H48" t="s">
        <v>19</v>
      </c>
      <c r="I48" t="s">
        <v>8</v>
      </c>
      <c r="J48" s="2">
        <v>3.45</v>
      </c>
      <c r="K48" s="2">
        <v>0.84289999999999998</v>
      </c>
      <c r="L48">
        <f t="shared" si="2"/>
        <v>0.69062753822791967</v>
      </c>
    </row>
    <row r="49" spans="1:12" x14ac:dyDescent="0.2">
      <c r="A49" t="s">
        <v>19</v>
      </c>
      <c r="B49" t="s">
        <v>6</v>
      </c>
      <c r="C49" s="2">
        <v>39.86</v>
      </c>
      <c r="D49" s="2">
        <v>8.2590000000000003</v>
      </c>
      <c r="E49">
        <f t="shared" si="0"/>
        <v>8.2587287552804796</v>
      </c>
      <c r="H49" t="s">
        <v>19</v>
      </c>
      <c r="I49" t="s">
        <v>8</v>
      </c>
      <c r="J49" s="2">
        <v>3.198</v>
      </c>
      <c r="K49" s="2">
        <v>0.7873</v>
      </c>
      <c r="L49">
        <f t="shared" si="2"/>
        <v>0.64613129921955004</v>
      </c>
    </row>
    <row r="50" spans="1:12" x14ac:dyDescent="0.2">
      <c r="A50" t="s">
        <v>10</v>
      </c>
      <c r="B50" t="s">
        <v>6</v>
      </c>
      <c r="C50" s="2">
        <v>27.55</v>
      </c>
      <c r="D50" s="2">
        <v>23.36</v>
      </c>
      <c r="E50">
        <f t="shared" si="0"/>
        <v>5.8400235779546126</v>
      </c>
      <c r="H50" t="s">
        <v>10</v>
      </c>
      <c r="I50" t="s">
        <v>8</v>
      </c>
      <c r="J50" s="2">
        <v>25.47</v>
      </c>
      <c r="K50" s="2">
        <v>22.81</v>
      </c>
      <c r="L50">
        <f t="shared" si="2"/>
        <v>4.5787512801497332</v>
      </c>
    </row>
    <row r="51" spans="1:12" x14ac:dyDescent="0.2">
      <c r="A51" t="s">
        <v>10</v>
      </c>
      <c r="B51" t="s">
        <v>6</v>
      </c>
      <c r="C51" s="2">
        <v>27.24</v>
      </c>
      <c r="D51" s="2">
        <v>23.12</v>
      </c>
      <c r="E51">
        <f t="shared" si="0"/>
        <v>5.7791138618724816</v>
      </c>
      <c r="H51" t="s">
        <v>10</v>
      </c>
      <c r="I51" t="s">
        <v>8</v>
      </c>
      <c r="J51" s="2">
        <v>25.42</v>
      </c>
      <c r="K51" s="2">
        <v>22.77</v>
      </c>
      <c r="L51">
        <f t="shared" si="2"/>
        <v>4.5699226612988664</v>
      </c>
    </row>
    <row r="52" spans="1:12" x14ac:dyDescent="0.2">
      <c r="A52" t="s">
        <v>10</v>
      </c>
      <c r="B52" t="s">
        <v>6</v>
      </c>
      <c r="C52" s="2">
        <v>27.47</v>
      </c>
      <c r="D52" s="2">
        <v>23.3</v>
      </c>
      <c r="E52">
        <f t="shared" si="0"/>
        <v>5.8243049415463206</v>
      </c>
      <c r="H52" t="s">
        <v>10</v>
      </c>
      <c r="I52" t="s">
        <v>8</v>
      </c>
      <c r="J52" s="2">
        <v>25.52</v>
      </c>
      <c r="K52" s="2">
        <v>22.86</v>
      </c>
      <c r="L52">
        <f t="shared" si="2"/>
        <v>4.5875798990006</v>
      </c>
    </row>
    <row r="53" spans="1:12" x14ac:dyDescent="0.2">
      <c r="A53" t="s">
        <v>11</v>
      </c>
      <c r="B53" t="s">
        <v>6</v>
      </c>
      <c r="C53" s="2">
        <v>1.036</v>
      </c>
      <c r="D53" s="2">
        <v>0.63049999999999995</v>
      </c>
      <c r="E53">
        <f t="shared" si="0"/>
        <v>0.63047450633657531</v>
      </c>
      <c r="H53" t="s">
        <v>11</v>
      </c>
      <c r="I53" t="s">
        <v>8</v>
      </c>
      <c r="J53" s="2">
        <v>0</v>
      </c>
      <c r="K53" s="2">
        <v>8.1449999999999995E-2</v>
      </c>
      <c r="L53">
        <f t="shared" si="2"/>
        <v>8.1452837518098661E-2</v>
      </c>
    </row>
    <row r="54" spans="1:12" x14ac:dyDescent="0.2">
      <c r="A54" t="s">
        <v>11</v>
      </c>
      <c r="B54" t="s">
        <v>6</v>
      </c>
      <c r="C54" s="2">
        <v>1.0169999999999999</v>
      </c>
      <c r="D54" s="2">
        <v>0.62670000000000003</v>
      </c>
      <c r="E54">
        <f t="shared" si="0"/>
        <v>0.62674133018960598</v>
      </c>
      <c r="H54" t="s">
        <v>11</v>
      </c>
      <c r="I54" t="s">
        <v>8</v>
      </c>
      <c r="J54" s="2">
        <v>0</v>
      </c>
      <c r="K54" s="2">
        <v>8.1449999999999995E-2</v>
      </c>
      <c r="L54">
        <f t="shared" si="2"/>
        <v>8.1452837518098661E-2</v>
      </c>
    </row>
    <row r="55" spans="1:12" x14ac:dyDescent="0.2">
      <c r="A55" t="s">
        <v>11</v>
      </c>
      <c r="B55" t="s">
        <v>6</v>
      </c>
      <c r="C55" s="2">
        <v>1.026</v>
      </c>
      <c r="D55" s="2">
        <v>0.62849999999999995</v>
      </c>
      <c r="E55">
        <f t="shared" si="0"/>
        <v>0.62850967678553893</v>
      </c>
    </row>
    <row r="109" spans="3:4" x14ac:dyDescent="0.2">
      <c r="C109" s="2"/>
      <c r="D109" s="2"/>
    </row>
    <row r="110" spans="3:4" x14ac:dyDescent="0.2">
      <c r="C110" s="2"/>
      <c r="D110" s="2"/>
    </row>
    <row r="111" spans="3:4" x14ac:dyDescent="0.2">
      <c r="C111" s="2"/>
      <c r="D111" s="2"/>
    </row>
    <row r="112" spans="3:4" x14ac:dyDescent="0.2">
      <c r="C112" s="2"/>
      <c r="D112" s="2"/>
    </row>
    <row r="113" spans="3:4" x14ac:dyDescent="0.2">
      <c r="C113" s="2"/>
      <c r="D113" s="2"/>
    </row>
    <row r="114" spans="3:4" x14ac:dyDescent="0.2">
      <c r="C114" s="2"/>
      <c r="D114" s="2"/>
    </row>
    <row r="115" spans="3:4" x14ac:dyDescent="0.2">
      <c r="C115" s="2"/>
      <c r="D115" s="2"/>
    </row>
    <row r="116" spans="3:4" x14ac:dyDescent="0.2">
      <c r="C116" s="2"/>
      <c r="D116" s="2"/>
    </row>
    <row r="117" spans="3:4" x14ac:dyDescent="0.2">
      <c r="C117" s="2"/>
      <c r="D117" s="2"/>
    </row>
    <row r="118" spans="3:4" x14ac:dyDescent="0.2">
      <c r="C118" s="2"/>
      <c r="D118" s="2"/>
    </row>
    <row r="119" spans="3:4" x14ac:dyDescent="0.2">
      <c r="C119" s="2"/>
      <c r="D119" s="2"/>
    </row>
    <row r="120" spans="3:4" x14ac:dyDescent="0.2">
      <c r="C120" s="2"/>
      <c r="D120" s="2"/>
    </row>
    <row r="121" spans="3:4" x14ac:dyDescent="0.2">
      <c r="C121" s="2"/>
      <c r="D121" s="2"/>
    </row>
    <row r="122" spans="3:4" x14ac:dyDescent="0.2">
      <c r="C122" s="2"/>
      <c r="D122" s="2"/>
    </row>
    <row r="123" spans="3:4" x14ac:dyDescent="0.2">
      <c r="C123" s="2"/>
      <c r="D123" s="2"/>
    </row>
    <row r="124" spans="3:4" x14ac:dyDescent="0.2">
      <c r="C124" s="2"/>
      <c r="D124" s="2"/>
    </row>
    <row r="125" spans="3:4" x14ac:dyDescent="0.2">
      <c r="C125" s="2"/>
      <c r="D125" s="2"/>
    </row>
    <row r="126" spans="3:4" x14ac:dyDescent="0.2">
      <c r="C126" s="2"/>
      <c r="D126" s="2"/>
    </row>
    <row r="127" spans="3:4" x14ac:dyDescent="0.2">
      <c r="C127" s="2"/>
      <c r="D127" s="2"/>
    </row>
    <row r="128" spans="3:4" x14ac:dyDescent="0.2">
      <c r="C128" s="2"/>
      <c r="D128" s="2"/>
    </row>
    <row r="129" spans="3:4" x14ac:dyDescent="0.2">
      <c r="C129" s="2"/>
      <c r="D129" s="2"/>
    </row>
    <row r="130" spans="3:4" x14ac:dyDescent="0.2">
      <c r="C130" s="2"/>
      <c r="D130" s="2"/>
    </row>
    <row r="131" spans="3:4" x14ac:dyDescent="0.2">
      <c r="C131" s="2"/>
      <c r="D131" s="2"/>
    </row>
    <row r="132" spans="3:4" x14ac:dyDescent="0.2">
      <c r="C132" s="2"/>
      <c r="D132" s="2"/>
    </row>
    <row r="133" spans="3:4" x14ac:dyDescent="0.2">
      <c r="C133" s="2"/>
      <c r="D133" s="2"/>
    </row>
    <row r="134" spans="3:4" x14ac:dyDescent="0.2">
      <c r="C134" s="2"/>
      <c r="D134" s="2"/>
    </row>
    <row r="135" spans="3:4" x14ac:dyDescent="0.2">
      <c r="C135" s="2"/>
      <c r="D135" s="2"/>
    </row>
    <row r="136" spans="3:4" x14ac:dyDescent="0.2">
      <c r="C136" s="2"/>
      <c r="D136" s="2"/>
    </row>
    <row r="137" spans="3:4" x14ac:dyDescent="0.2">
      <c r="C137" s="2"/>
      <c r="D137" s="2"/>
    </row>
    <row r="138" spans="3:4" x14ac:dyDescent="0.2">
      <c r="C138" s="2"/>
      <c r="D138" s="2"/>
    </row>
    <row r="139" spans="3:4" x14ac:dyDescent="0.2">
      <c r="C139" s="2"/>
      <c r="D139" s="2"/>
    </row>
    <row r="140" spans="3:4" x14ac:dyDescent="0.2">
      <c r="C140" s="2"/>
      <c r="D140" s="2"/>
    </row>
    <row r="141" spans="3:4" x14ac:dyDescent="0.2">
      <c r="C141" s="2"/>
      <c r="D141" s="2"/>
    </row>
    <row r="142" spans="3:4" x14ac:dyDescent="0.2">
      <c r="C142" s="2"/>
      <c r="D142" s="2"/>
    </row>
    <row r="143" spans="3:4" x14ac:dyDescent="0.2">
      <c r="C143" s="2"/>
      <c r="D143" s="2"/>
    </row>
    <row r="144" spans="3:4" x14ac:dyDescent="0.2">
      <c r="C144" s="2"/>
      <c r="D144" s="2"/>
    </row>
    <row r="145" spans="3:4" x14ac:dyDescent="0.2">
      <c r="C145" s="2"/>
      <c r="D145" s="2"/>
    </row>
    <row r="146" spans="3:4" x14ac:dyDescent="0.2">
      <c r="C146" s="2"/>
      <c r="D146" s="2"/>
    </row>
    <row r="147" spans="3:4" x14ac:dyDescent="0.2">
      <c r="C147" s="2"/>
      <c r="D147" s="2"/>
    </row>
    <row r="148" spans="3:4" x14ac:dyDescent="0.2">
      <c r="C148" s="2"/>
      <c r="D148" s="2"/>
    </row>
    <row r="149" spans="3:4" x14ac:dyDescent="0.2">
      <c r="C149" s="2"/>
      <c r="D149" s="2"/>
    </row>
    <row r="150" spans="3:4" x14ac:dyDescent="0.2">
      <c r="C150" s="2"/>
      <c r="D150" s="2"/>
    </row>
  </sheetData>
  <sortState xmlns:xlrd2="http://schemas.microsoft.com/office/spreadsheetml/2017/richdata2" ref="A2:D108">
    <sortCondition ref="B2:B10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Lynch,Laurel</dc:creator>
  <cp:lastModifiedBy>Lynch,Laurel</cp:lastModifiedBy>
  <dcterms:created xsi:type="dcterms:W3CDTF">2019-08-23T22:48:56Z</dcterms:created>
  <dcterms:modified xsi:type="dcterms:W3CDTF">2019-08-23T22:54:04Z</dcterms:modified>
</cp:coreProperties>
</file>