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1_{154D7C4D-D0AA-994A-8022-B13DD50113D2}" xr6:coauthVersionLast="43" xr6:coauthVersionMax="43" xr10:uidLastSave="{00000000-0000-0000-0000-000000000000}"/>
  <bookViews>
    <workbookView xWindow="-28860" yWindow="3640" windowWidth="27240" windowHeight="16540" activeTab="1" xr2:uid="{8E697761-39E2-6841-BE8C-173470B6A08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2" l="1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3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A2" i="1"/>
  <c r="B2" i="1"/>
  <c r="C2" i="1"/>
  <c r="D2" i="1"/>
  <c r="E2" i="1"/>
  <c r="F2" i="1"/>
  <c r="H2" i="1"/>
  <c r="I2" i="1"/>
  <c r="J2" i="1"/>
  <c r="K2" i="1"/>
  <c r="L2" i="1"/>
  <c r="M2" i="1"/>
  <c r="N2" i="1"/>
  <c r="O2" i="1"/>
  <c r="Q2" i="1"/>
  <c r="A3" i="1"/>
  <c r="B3" i="1"/>
  <c r="C3" i="1"/>
  <c r="D3" i="1"/>
  <c r="E3" i="1"/>
  <c r="F3" i="1"/>
  <c r="H3" i="1"/>
  <c r="I3" i="1"/>
  <c r="J3" i="1"/>
  <c r="K3" i="1"/>
  <c r="L3" i="1"/>
  <c r="M3" i="1"/>
  <c r="N3" i="1"/>
  <c r="O3" i="1"/>
  <c r="Q3" i="1"/>
  <c r="A4" i="1"/>
  <c r="B4" i="1"/>
  <c r="C4" i="1"/>
  <c r="D4" i="1"/>
  <c r="E4" i="1"/>
  <c r="F4" i="1"/>
  <c r="H4" i="1"/>
  <c r="I4" i="1"/>
  <c r="J4" i="1"/>
  <c r="K4" i="1"/>
  <c r="L4" i="1"/>
  <c r="M4" i="1"/>
  <c r="N4" i="1"/>
  <c r="O4" i="1"/>
  <c r="Q4" i="1"/>
  <c r="A5" i="1"/>
  <c r="B5" i="1"/>
  <c r="C5" i="1"/>
  <c r="D5" i="1"/>
  <c r="E5" i="1"/>
  <c r="F5" i="1"/>
  <c r="H5" i="1"/>
  <c r="I5" i="1"/>
  <c r="J5" i="1"/>
  <c r="K5" i="1"/>
  <c r="L5" i="1"/>
  <c r="M5" i="1"/>
  <c r="N5" i="1"/>
  <c r="O5" i="1"/>
  <c r="Q5" i="1"/>
  <c r="A6" i="1"/>
  <c r="B6" i="1"/>
  <c r="C6" i="1"/>
  <c r="D6" i="1"/>
  <c r="E6" i="1"/>
  <c r="F6" i="1"/>
  <c r="H6" i="1"/>
  <c r="I6" i="1"/>
  <c r="J6" i="1"/>
  <c r="K6" i="1"/>
  <c r="L6" i="1"/>
  <c r="M6" i="1"/>
  <c r="N6" i="1"/>
  <c r="O6" i="1"/>
  <c r="Q6" i="1"/>
  <c r="A7" i="1"/>
  <c r="B7" i="1"/>
  <c r="C7" i="1"/>
  <c r="D7" i="1"/>
  <c r="E7" i="1"/>
  <c r="F7" i="1"/>
  <c r="H7" i="1"/>
  <c r="I7" i="1"/>
  <c r="J7" i="1"/>
  <c r="K7" i="1"/>
  <c r="L7" i="1"/>
  <c r="M7" i="1"/>
  <c r="N7" i="1"/>
  <c r="O7" i="1"/>
  <c r="Q7" i="1"/>
  <c r="A8" i="1"/>
  <c r="B8" i="1"/>
  <c r="C8" i="1"/>
  <c r="D8" i="1"/>
  <c r="E8" i="1"/>
  <c r="F8" i="1"/>
  <c r="H8" i="1"/>
  <c r="I8" i="1"/>
  <c r="J8" i="1"/>
  <c r="K8" i="1"/>
  <c r="L8" i="1"/>
  <c r="M8" i="1"/>
  <c r="N8" i="1"/>
  <c r="O8" i="1"/>
  <c r="Q8" i="1"/>
  <c r="A9" i="1"/>
  <c r="B9" i="1"/>
  <c r="C9" i="1"/>
  <c r="D9" i="1"/>
  <c r="E9" i="1"/>
  <c r="F9" i="1"/>
  <c r="H9" i="1"/>
  <c r="I9" i="1"/>
  <c r="J9" i="1"/>
  <c r="K9" i="1"/>
  <c r="L9" i="1"/>
  <c r="M9" i="1"/>
  <c r="N9" i="1"/>
  <c r="O9" i="1"/>
  <c r="Q9" i="1"/>
  <c r="A10" i="1"/>
  <c r="B10" i="1"/>
  <c r="C10" i="1"/>
  <c r="D10" i="1"/>
  <c r="E10" i="1"/>
  <c r="F10" i="1"/>
  <c r="H10" i="1"/>
  <c r="I10" i="1"/>
  <c r="J10" i="1"/>
  <c r="K10" i="1"/>
  <c r="L10" i="1"/>
  <c r="M10" i="1"/>
  <c r="N10" i="1"/>
  <c r="O10" i="1"/>
  <c r="Q10" i="1"/>
  <c r="A11" i="1"/>
  <c r="B11" i="1"/>
  <c r="C11" i="1"/>
  <c r="D11" i="1"/>
  <c r="E11" i="1"/>
  <c r="F11" i="1"/>
  <c r="H11" i="1"/>
  <c r="I11" i="1"/>
  <c r="J11" i="1"/>
  <c r="K11" i="1"/>
  <c r="L11" i="1"/>
  <c r="M11" i="1"/>
  <c r="N11" i="1"/>
  <c r="O11" i="1"/>
  <c r="Q11" i="1"/>
  <c r="A12" i="1"/>
  <c r="B12" i="1"/>
  <c r="C12" i="1"/>
  <c r="D12" i="1"/>
  <c r="E12" i="1"/>
  <c r="F12" i="1"/>
  <c r="H12" i="1"/>
  <c r="I12" i="1"/>
  <c r="J12" i="1"/>
  <c r="K12" i="1"/>
  <c r="L12" i="1"/>
  <c r="M12" i="1"/>
  <c r="N12" i="1"/>
  <c r="O12" i="1"/>
  <c r="Q12" i="1"/>
  <c r="A13" i="1"/>
  <c r="B13" i="1"/>
  <c r="C13" i="1"/>
  <c r="D13" i="1"/>
  <c r="E13" i="1"/>
  <c r="F13" i="1"/>
  <c r="H13" i="1"/>
  <c r="I13" i="1"/>
  <c r="J13" i="1"/>
  <c r="K13" i="1"/>
  <c r="L13" i="1"/>
  <c r="M13" i="1"/>
  <c r="N13" i="1"/>
  <c r="O13" i="1"/>
  <c r="Q13" i="1"/>
  <c r="A14" i="1"/>
  <c r="B14" i="1"/>
  <c r="C14" i="1"/>
  <c r="D14" i="1"/>
  <c r="E14" i="1"/>
  <c r="F14" i="1"/>
  <c r="H14" i="1"/>
  <c r="I14" i="1"/>
  <c r="J14" i="1"/>
  <c r="K14" i="1"/>
  <c r="L14" i="1"/>
  <c r="M14" i="1"/>
  <c r="N14" i="1"/>
  <c r="O14" i="1"/>
  <c r="Q14" i="1"/>
  <c r="A15" i="1"/>
  <c r="B15" i="1"/>
  <c r="C15" i="1"/>
  <c r="D15" i="1"/>
  <c r="E15" i="1"/>
  <c r="F15" i="1"/>
  <c r="H15" i="1"/>
  <c r="I15" i="1"/>
  <c r="J15" i="1"/>
  <c r="K15" i="1"/>
  <c r="L15" i="1"/>
  <c r="M15" i="1"/>
  <c r="N15" i="1"/>
  <c r="O15" i="1"/>
  <c r="Q15" i="1"/>
  <c r="A16" i="1"/>
  <c r="B16" i="1"/>
  <c r="C16" i="1"/>
  <c r="D16" i="1"/>
  <c r="E16" i="1"/>
  <c r="F16" i="1"/>
  <c r="H16" i="1"/>
  <c r="I16" i="1"/>
  <c r="J16" i="1"/>
  <c r="K16" i="1"/>
  <c r="L16" i="1"/>
  <c r="M16" i="1"/>
  <c r="N16" i="1"/>
  <c r="O16" i="1"/>
  <c r="Q16" i="1"/>
  <c r="A17" i="1"/>
  <c r="B17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A18" i="1"/>
  <c r="B18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A19" i="1"/>
  <c r="B19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A20" i="1"/>
  <c r="B20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A21" i="1"/>
  <c r="B21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A22" i="1"/>
  <c r="B22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A23" i="1"/>
  <c r="B23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A24" i="1"/>
  <c r="B24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A25" i="1"/>
  <c r="B25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A26" i="1"/>
  <c r="B26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A27" i="1"/>
  <c r="B27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A28" i="1"/>
  <c r="B28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A29" i="1"/>
  <c r="B29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A30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A31" i="1"/>
  <c r="B31" i="1"/>
  <c r="C31" i="1"/>
  <c r="D31" i="1"/>
  <c r="E31" i="1"/>
  <c r="F31" i="1"/>
  <c r="H31" i="1"/>
  <c r="I31" i="1"/>
  <c r="J31" i="1"/>
  <c r="K31" i="1"/>
  <c r="L31" i="1"/>
  <c r="M31" i="1"/>
  <c r="N31" i="1"/>
  <c r="O31" i="1"/>
  <c r="Q31" i="1"/>
  <c r="A32" i="1"/>
  <c r="B32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A33" i="1"/>
  <c r="B33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A34" i="1"/>
  <c r="B34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A35" i="1"/>
  <c r="B35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A36" i="1"/>
  <c r="B36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A37" i="1"/>
  <c r="B37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A38" i="1"/>
  <c r="B38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A39" i="1"/>
  <c r="B39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A40" i="1"/>
  <c r="B40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A41" i="1"/>
  <c r="B41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A42" i="1"/>
  <c r="B42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A43" i="1"/>
  <c r="B43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A44" i="1"/>
  <c r="B44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A45" i="1"/>
  <c r="B45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A46" i="1"/>
  <c r="B46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A47" i="1"/>
  <c r="B47" i="1"/>
  <c r="C47" i="1"/>
  <c r="D47" i="1"/>
  <c r="E47" i="1"/>
  <c r="F47" i="1"/>
  <c r="H47" i="1"/>
  <c r="I47" i="1"/>
  <c r="J47" i="1"/>
  <c r="K47" i="1"/>
  <c r="L47" i="1"/>
  <c r="M47" i="1"/>
  <c r="N47" i="1"/>
  <c r="O47" i="1"/>
  <c r="Q47" i="1"/>
  <c r="A48" i="1"/>
  <c r="B48" i="1"/>
  <c r="C48" i="1"/>
  <c r="D48" i="1"/>
  <c r="E48" i="1"/>
  <c r="F48" i="1"/>
  <c r="H48" i="1"/>
  <c r="I48" i="1"/>
  <c r="J48" i="1"/>
  <c r="K48" i="1"/>
  <c r="L48" i="1"/>
  <c r="M48" i="1"/>
  <c r="N48" i="1"/>
  <c r="O48" i="1"/>
  <c r="Q48" i="1"/>
  <c r="A49" i="1"/>
  <c r="B49" i="1"/>
  <c r="C49" i="1"/>
  <c r="D49" i="1"/>
  <c r="E49" i="1"/>
  <c r="F49" i="1"/>
  <c r="H49" i="1"/>
  <c r="I49" i="1"/>
  <c r="J49" i="1"/>
  <c r="K49" i="1"/>
  <c r="L49" i="1"/>
  <c r="M49" i="1"/>
  <c r="N49" i="1"/>
  <c r="O49" i="1"/>
  <c r="Q49" i="1"/>
  <c r="A50" i="1"/>
  <c r="B50" i="1"/>
  <c r="C50" i="1"/>
  <c r="D50" i="1"/>
  <c r="E50" i="1"/>
  <c r="F50" i="1"/>
  <c r="H50" i="1"/>
  <c r="I50" i="1"/>
  <c r="J50" i="1"/>
  <c r="K50" i="1"/>
  <c r="L50" i="1"/>
  <c r="M50" i="1"/>
  <c r="N50" i="1"/>
  <c r="O50" i="1"/>
  <c r="Q50" i="1"/>
  <c r="A51" i="1"/>
  <c r="B51" i="1"/>
  <c r="C51" i="1"/>
  <c r="D51" i="1"/>
  <c r="E51" i="1"/>
  <c r="F51" i="1"/>
  <c r="H51" i="1"/>
  <c r="I51" i="1"/>
  <c r="J51" i="1"/>
  <c r="K51" i="1"/>
  <c r="L51" i="1"/>
  <c r="M51" i="1"/>
  <c r="N51" i="1"/>
  <c r="O51" i="1"/>
  <c r="Q51" i="1"/>
  <c r="A52" i="1"/>
  <c r="B52" i="1"/>
  <c r="C52" i="1"/>
  <c r="D52" i="1"/>
  <c r="E52" i="1"/>
  <c r="F52" i="1"/>
  <c r="H52" i="1"/>
  <c r="I52" i="1"/>
  <c r="J52" i="1"/>
  <c r="K52" i="1"/>
  <c r="L52" i="1"/>
  <c r="M52" i="1"/>
  <c r="N52" i="1"/>
  <c r="O52" i="1"/>
  <c r="Q52" i="1"/>
  <c r="A53" i="1"/>
  <c r="B53" i="1"/>
  <c r="C53" i="1"/>
  <c r="D53" i="1"/>
  <c r="E53" i="1"/>
  <c r="F53" i="1"/>
  <c r="H53" i="1"/>
  <c r="I53" i="1"/>
  <c r="J53" i="1"/>
  <c r="K53" i="1"/>
  <c r="L53" i="1"/>
  <c r="M53" i="1"/>
  <c r="N53" i="1"/>
  <c r="O53" i="1"/>
  <c r="Q53" i="1"/>
  <c r="A54" i="1"/>
  <c r="B54" i="1"/>
  <c r="C54" i="1"/>
  <c r="D54" i="1"/>
  <c r="E54" i="1"/>
  <c r="F54" i="1"/>
  <c r="H54" i="1"/>
  <c r="I54" i="1"/>
  <c r="J54" i="1"/>
  <c r="K54" i="1"/>
  <c r="L54" i="1"/>
  <c r="M54" i="1"/>
  <c r="N54" i="1"/>
  <c r="O54" i="1"/>
  <c r="Q54" i="1"/>
  <c r="A55" i="1"/>
  <c r="B55" i="1"/>
  <c r="C55" i="1"/>
  <c r="D55" i="1"/>
  <c r="E55" i="1"/>
  <c r="F55" i="1"/>
  <c r="H55" i="1"/>
  <c r="I55" i="1"/>
  <c r="J55" i="1"/>
  <c r="K55" i="1"/>
  <c r="L55" i="1"/>
  <c r="M55" i="1"/>
  <c r="N55" i="1"/>
  <c r="O55" i="1"/>
  <c r="Q55" i="1"/>
  <c r="A56" i="1"/>
  <c r="B56" i="1"/>
  <c r="C56" i="1"/>
  <c r="D56" i="1"/>
  <c r="E56" i="1"/>
  <c r="F56" i="1"/>
  <c r="H56" i="1"/>
  <c r="I56" i="1"/>
  <c r="J56" i="1"/>
  <c r="K56" i="1"/>
  <c r="L56" i="1"/>
  <c r="M56" i="1"/>
  <c r="N56" i="1"/>
  <c r="O56" i="1"/>
  <c r="Q56" i="1"/>
  <c r="A57" i="1"/>
  <c r="B57" i="1"/>
  <c r="C57" i="1"/>
  <c r="D57" i="1"/>
  <c r="E57" i="1"/>
  <c r="F57" i="1"/>
  <c r="H57" i="1"/>
  <c r="I57" i="1"/>
  <c r="J57" i="1"/>
  <c r="K57" i="1"/>
  <c r="L57" i="1"/>
  <c r="M57" i="1"/>
  <c r="N57" i="1"/>
  <c r="O57" i="1"/>
  <c r="Q57" i="1"/>
  <c r="A58" i="1"/>
  <c r="B58" i="1"/>
  <c r="C58" i="1"/>
  <c r="D58" i="1"/>
  <c r="E58" i="1"/>
  <c r="F58" i="1"/>
  <c r="H58" i="1"/>
  <c r="I58" i="1"/>
  <c r="J58" i="1"/>
  <c r="K58" i="1"/>
  <c r="L58" i="1"/>
  <c r="M58" i="1"/>
  <c r="N58" i="1"/>
  <c r="O58" i="1"/>
  <c r="Q58" i="1"/>
  <c r="A59" i="1"/>
  <c r="B59" i="1"/>
  <c r="C59" i="1"/>
  <c r="D59" i="1"/>
  <c r="E59" i="1"/>
  <c r="F59" i="1"/>
  <c r="H59" i="1"/>
  <c r="I59" i="1"/>
  <c r="J59" i="1"/>
  <c r="K59" i="1"/>
  <c r="L59" i="1"/>
  <c r="M59" i="1"/>
  <c r="N59" i="1"/>
  <c r="O59" i="1"/>
  <c r="Q59" i="1"/>
  <c r="A60" i="1"/>
  <c r="B60" i="1"/>
  <c r="C60" i="1"/>
  <c r="D60" i="1"/>
  <c r="E60" i="1"/>
  <c r="F60" i="1"/>
  <c r="H60" i="1"/>
  <c r="I60" i="1"/>
  <c r="J60" i="1"/>
  <c r="K60" i="1"/>
  <c r="L60" i="1"/>
  <c r="M60" i="1"/>
  <c r="N60" i="1"/>
  <c r="O60" i="1"/>
  <c r="Q60" i="1"/>
  <c r="A61" i="1"/>
  <c r="B61" i="1"/>
  <c r="C61" i="1"/>
  <c r="D61" i="1"/>
  <c r="E61" i="1"/>
  <c r="F61" i="1"/>
  <c r="H61" i="1"/>
  <c r="I61" i="1"/>
  <c r="J61" i="1"/>
  <c r="K61" i="1"/>
  <c r="L61" i="1"/>
  <c r="M61" i="1"/>
  <c r="N61" i="1"/>
  <c r="O61" i="1"/>
  <c r="Q61" i="1"/>
  <c r="A62" i="1"/>
  <c r="B62" i="1"/>
  <c r="C62" i="1"/>
  <c r="D62" i="1"/>
  <c r="E62" i="1"/>
  <c r="F62" i="1"/>
  <c r="H62" i="1"/>
  <c r="I62" i="1"/>
  <c r="J62" i="1"/>
  <c r="K62" i="1"/>
  <c r="L62" i="1"/>
  <c r="M62" i="1"/>
  <c r="N62" i="1"/>
  <c r="O62" i="1"/>
  <c r="Q62" i="1"/>
  <c r="A63" i="1"/>
  <c r="B63" i="1"/>
  <c r="C63" i="1"/>
  <c r="D63" i="1"/>
  <c r="E63" i="1"/>
  <c r="F63" i="1"/>
  <c r="H63" i="1"/>
  <c r="I63" i="1"/>
  <c r="J63" i="1"/>
  <c r="K63" i="1"/>
  <c r="L63" i="1"/>
  <c r="M63" i="1"/>
  <c r="N63" i="1"/>
  <c r="O63" i="1"/>
  <c r="Q63" i="1"/>
  <c r="A64" i="1"/>
  <c r="B64" i="1"/>
  <c r="C64" i="1"/>
  <c r="D64" i="1"/>
  <c r="E64" i="1"/>
  <c r="F64" i="1"/>
  <c r="H64" i="1"/>
  <c r="I64" i="1"/>
  <c r="J64" i="1"/>
  <c r="K64" i="1"/>
  <c r="L64" i="1"/>
  <c r="M64" i="1"/>
  <c r="N64" i="1"/>
  <c r="O64" i="1"/>
  <c r="Q64" i="1"/>
  <c r="A65" i="1"/>
  <c r="B65" i="1"/>
  <c r="C65" i="1"/>
  <c r="D65" i="1"/>
  <c r="E65" i="1"/>
  <c r="F65" i="1"/>
  <c r="H65" i="1"/>
  <c r="I65" i="1"/>
  <c r="J65" i="1"/>
  <c r="K65" i="1"/>
  <c r="L65" i="1"/>
  <c r="M65" i="1"/>
  <c r="N65" i="1"/>
  <c r="O65" i="1"/>
  <c r="Q65" i="1"/>
  <c r="A66" i="1"/>
  <c r="B66" i="1"/>
  <c r="C66" i="1"/>
  <c r="D66" i="1"/>
  <c r="E66" i="1"/>
  <c r="F66" i="1"/>
  <c r="H66" i="1"/>
  <c r="I66" i="1"/>
  <c r="J66" i="1"/>
  <c r="K66" i="1"/>
  <c r="L66" i="1"/>
  <c r="M66" i="1"/>
  <c r="N66" i="1"/>
  <c r="O66" i="1"/>
  <c r="Q66" i="1"/>
  <c r="A67" i="1"/>
  <c r="B67" i="1"/>
  <c r="C67" i="1"/>
  <c r="D67" i="1"/>
  <c r="E67" i="1"/>
  <c r="F67" i="1"/>
  <c r="H67" i="1"/>
  <c r="I67" i="1"/>
  <c r="J67" i="1"/>
  <c r="K67" i="1"/>
  <c r="L67" i="1"/>
  <c r="M67" i="1"/>
  <c r="N67" i="1"/>
  <c r="O67" i="1"/>
  <c r="Q67" i="1"/>
  <c r="A68" i="1"/>
  <c r="B68" i="1"/>
  <c r="C68" i="1"/>
  <c r="D68" i="1"/>
  <c r="E68" i="1"/>
  <c r="F68" i="1"/>
  <c r="H68" i="1"/>
  <c r="I68" i="1"/>
  <c r="J68" i="1"/>
  <c r="K68" i="1"/>
  <c r="L68" i="1"/>
  <c r="M68" i="1"/>
  <c r="N68" i="1"/>
  <c r="O68" i="1"/>
  <c r="Q68" i="1"/>
  <c r="A69" i="1"/>
  <c r="B69" i="1"/>
  <c r="C69" i="1"/>
  <c r="D69" i="1"/>
  <c r="E69" i="1"/>
  <c r="F69" i="1"/>
  <c r="H69" i="1"/>
  <c r="I69" i="1"/>
  <c r="J69" i="1"/>
  <c r="K69" i="1"/>
  <c r="L69" i="1"/>
  <c r="M69" i="1"/>
  <c r="N69" i="1"/>
  <c r="O69" i="1"/>
  <c r="Q69" i="1"/>
  <c r="A70" i="1"/>
  <c r="B70" i="1"/>
  <c r="C70" i="1"/>
  <c r="D70" i="1"/>
  <c r="E70" i="1"/>
  <c r="F70" i="1"/>
  <c r="H70" i="1"/>
  <c r="I70" i="1"/>
  <c r="J70" i="1"/>
  <c r="K70" i="1"/>
  <c r="L70" i="1"/>
  <c r="M70" i="1"/>
  <c r="N70" i="1"/>
  <c r="O70" i="1"/>
  <c r="Q70" i="1"/>
  <c r="A71" i="1"/>
  <c r="B71" i="1"/>
  <c r="C71" i="1"/>
  <c r="D71" i="1"/>
  <c r="E71" i="1"/>
  <c r="F71" i="1"/>
  <c r="H71" i="1"/>
  <c r="I71" i="1"/>
  <c r="J71" i="1"/>
  <c r="K71" i="1"/>
  <c r="L71" i="1"/>
  <c r="M71" i="1"/>
  <c r="N71" i="1"/>
  <c r="O71" i="1"/>
  <c r="Q71" i="1"/>
  <c r="A72" i="1"/>
  <c r="B72" i="1"/>
  <c r="C72" i="1"/>
  <c r="D72" i="1"/>
  <c r="E72" i="1"/>
  <c r="F72" i="1"/>
  <c r="H72" i="1"/>
  <c r="I72" i="1"/>
  <c r="J72" i="1"/>
  <c r="K72" i="1"/>
  <c r="L72" i="1"/>
  <c r="M72" i="1"/>
  <c r="N72" i="1"/>
  <c r="O72" i="1"/>
  <c r="Q72" i="1"/>
  <c r="A73" i="1"/>
  <c r="B73" i="1"/>
  <c r="C73" i="1"/>
  <c r="D73" i="1"/>
  <c r="E73" i="1"/>
  <c r="F73" i="1"/>
  <c r="H73" i="1"/>
  <c r="I73" i="1"/>
  <c r="J73" i="1"/>
  <c r="K73" i="1"/>
  <c r="L73" i="1"/>
  <c r="M73" i="1"/>
  <c r="N73" i="1"/>
  <c r="O73" i="1"/>
  <c r="Q73" i="1"/>
  <c r="A74" i="1"/>
  <c r="B74" i="1"/>
  <c r="C74" i="1"/>
  <c r="D74" i="1"/>
  <c r="E74" i="1"/>
  <c r="F74" i="1"/>
  <c r="H74" i="1"/>
  <c r="I74" i="1"/>
  <c r="J74" i="1"/>
  <c r="K74" i="1"/>
  <c r="L74" i="1"/>
  <c r="M74" i="1"/>
  <c r="N74" i="1"/>
  <c r="O74" i="1"/>
  <c r="Q74" i="1"/>
  <c r="A75" i="1"/>
  <c r="B75" i="1"/>
  <c r="C75" i="1"/>
  <c r="D75" i="1"/>
  <c r="E75" i="1"/>
  <c r="F75" i="1"/>
  <c r="H75" i="1"/>
  <c r="I75" i="1"/>
  <c r="J75" i="1"/>
  <c r="K75" i="1"/>
  <c r="L75" i="1"/>
  <c r="M75" i="1"/>
  <c r="N75" i="1"/>
  <c r="O75" i="1"/>
  <c r="Q75" i="1"/>
  <c r="A76" i="1"/>
  <c r="B76" i="1"/>
  <c r="C76" i="1"/>
  <c r="D76" i="1"/>
  <c r="E76" i="1"/>
  <c r="F76" i="1"/>
  <c r="H76" i="1"/>
  <c r="I76" i="1"/>
  <c r="J76" i="1"/>
  <c r="K76" i="1"/>
  <c r="L76" i="1"/>
  <c r="M76" i="1"/>
  <c r="N76" i="1"/>
  <c r="O76" i="1"/>
  <c r="Q76" i="1"/>
  <c r="A77" i="1"/>
  <c r="B77" i="1"/>
  <c r="C77" i="1"/>
  <c r="D77" i="1"/>
  <c r="E77" i="1"/>
  <c r="F77" i="1"/>
  <c r="H77" i="1"/>
  <c r="I77" i="1"/>
  <c r="J77" i="1"/>
  <c r="K77" i="1"/>
  <c r="L77" i="1"/>
  <c r="M77" i="1"/>
  <c r="N77" i="1"/>
  <c r="O77" i="1"/>
  <c r="Q77" i="1"/>
  <c r="A78" i="1"/>
  <c r="B78" i="1"/>
  <c r="C78" i="1"/>
  <c r="D78" i="1"/>
  <c r="E78" i="1"/>
  <c r="F78" i="1"/>
  <c r="H78" i="1"/>
  <c r="I78" i="1"/>
  <c r="J78" i="1"/>
  <c r="K78" i="1"/>
  <c r="L78" i="1"/>
  <c r="M78" i="1"/>
  <c r="N78" i="1"/>
  <c r="O78" i="1"/>
  <c r="Q78" i="1"/>
  <c r="A79" i="1"/>
  <c r="B79" i="1"/>
  <c r="C79" i="1"/>
  <c r="D79" i="1"/>
  <c r="E79" i="1"/>
  <c r="F79" i="1"/>
  <c r="H79" i="1"/>
  <c r="I79" i="1"/>
  <c r="J79" i="1"/>
  <c r="K79" i="1"/>
  <c r="L79" i="1"/>
  <c r="M79" i="1"/>
  <c r="N79" i="1"/>
  <c r="O79" i="1"/>
  <c r="Q79" i="1"/>
  <c r="A80" i="1"/>
  <c r="B80" i="1"/>
  <c r="C80" i="1"/>
  <c r="D80" i="1"/>
  <c r="E80" i="1"/>
  <c r="F80" i="1"/>
  <c r="H80" i="1"/>
  <c r="I80" i="1"/>
  <c r="J80" i="1"/>
  <c r="K80" i="1"/>
  <c r="L80" i="1"/>
  <c r="M80" i="1"/>
  <c r="N80" i="1"/>
  <c r="O80" i="1"/>
  <c r="Q80" i="1"/>
  <c r="A81" i="1"/>
  <c r="B81" i="1"/>
  <c r="C81" i="1"/>
  <c r="D81" i="1"/>
  <c r="E81" i="1"/>
  <c r="F81" i="1"/>
  <c r="H81" i="1"/>
  <c r="I81" i="1"/>
  <c r="J81" i="1"/>
  <c r="K81" i="1"/>
  <c r="L81" i="1"/>
  <c r="M81" i="1"/>
  <c r="N81" i="1"/>
  <c r="O81" i="1"/>
  <c r="Q81" i="1"/>
  <c r="A82" i="1"/>
  <c r="B82" i="1"/>
  <c r="C82" i="1"/>
  <c r="D82" i="1"/>
  <c r="E82" i="1"/>
  <c r="F82" i="1"/>
  <c r="H82" i="1"/>
  <c r="I82" i="1"/>
  <c r="J82" i="1"/>
  <c r="K82" i="1"/>
  <c r="L82" i="1"/>
  <c r="M82" i="1"/>
  <c r="N82" i="1"/>
  <c r="O82" i="1"/>
  <c r="Q82" i="1"/>
  <c r="A83" i="1"/>
  <c r="B83" i="1"/>
  <c r="C83" i="1"/>
  <c r="D83" i="1"/>
  <c r="E83" i="1"/>
  <c r="F83" i="1"/>
  <c r="H83" i="1"/>
  <c r="I83" i="1"/>
  <c r="J83" i="1"/>
  <c r="K83" i="1"/>
  <c r="L83" i="1"/>
  <c r="M83" i="1"/>
  <c r="N83" i="1"/>
  <c r="O83" i="1"/>
  <c r="Q83" i="1"/>
  <c r="A84" i="1"/>
  <c r="B84" i="1"/>
  <c r="C84" i="1"/>
  <c r="D84" i="1"/>
  <c r="E84" i="1"/>
  <c r="F84" i="1"/>
  <c r="H84" i="1"/>
  <c r="I84" i="1"/>
  <c r="J84" i="1"/>
  <c r="K84" i="1"/>
  <c r="L84" i="1"/>
  <c r="M84" i="1"/>
  <c r="N84" i="1"/>
  <c r="O84" i="1"/>
  <c r="Q84" i="1"/>
  <c r="A85" i="1"/>
  <c r="B85" i="1"/>
  <c r="C85" i="1"/>
  <c r="D85" i="1"/>
  <c r="E85" i="1"/>
  <c r="F85" i="1"/>
  <c r="H85" i="1"/>
  <c r="I85" i="1"/>
  <c r="J85" i="1"/>
  <c r="K85" i="1"/>
  <c r="L85" i="1"/>
  <c r="M85" i="1"/>
  <c r="N85" i="1"/>
  <c r="O85" i="1"/>
  <c r="Q85" i="1"/>
  <c r="A86" i="1"/>
  <c r="B86" i="1"/>
  <c r="C86" i="1"/>
  <c r="D86" i="1"/>
  <c r="E86" i="1"/>
  <c r="F86" i="1"/>
  <c r="H86" i="1"/>
  <c r="I86" i="1"/>
  <c r="J86" i="1"/>
  <c r="K86" i="1"/>
  <c r="L86" i="1"/>
  <c r="M86" i="1"/>
  <c r="N86" i="1"/>
  <c r="O86" i="1"/>
  <c r="Q86" i="1"/>
  <c r="A87" i="1"/>
  <c r="B87" i="1"/>
  <c r="C87" i="1"/>
  <c r="D87" i="1"/>
  <c r="E87" i="1"/>
  <c r="F87" i="1"/>
  <c r="H87" i="1"/>
  <c r="I87" i="1"/>
  <c r="J87" i="1"/>
  <c r="K87" i="1"/>
  <c r="L87" i="1"/>
  <c r="M87" i="1"/>
  <c r="N87" i="1"/>
  <c r="O87" i="1"/>
  <c r="Q87" i="1"/>
  <c r="A88" i="1"/>
  <c r="B88" i="1"/>
  <c r="C88" i="1"/>
  <c r="D88" i="1"/>
  <c r="E88" i="1"/>
  <c r="F88" i="1"/>
  <c r="H88" i="1"/>
  <c r="I88" i="1"/>
  <c r="J88" i="1"/>
  <c r="K88" i="1"/>
  <c r="L88" i="1"/>
  <c r="M88" i="1"/>
  <c r="N88" i="1"/>
  <c r="O88" i="1"/>
  <c r="Q88" i="1"/>
  <c r="A89" i="1"/>
  <c r="B89" i="1"/>
  <c r="C89" i="1"/>
  <c r="D89" i="1"/>
  <c r="E89" i="1"/>
  <c r="F89" i="1"/>
  <c r="H89" i="1"/>
  <c r="I89" i="1"/>
  <c r="J89" i="1"/>
  <c r="K89" i="1"/>
  <c r="L89" i="1"/>
  <c r="M89" i="1"/>
  <c r="N89" i="1"/>
  <c r="O89" i="1"/>
  <c r="Q89" i="1"/>
  <c r="A90" i="1"/>
  <c r="B90" i="1"/>
  <c r="C90" i="1"/>
  <c r="D90" i="1"/>
  <c r="E90" i="1"/>
  <c r="F90" i="1"/>
  <c r="H90" i="1"/>
  <c r="I90" i="1"/>
  <c r="J90" i="1"/>
  <c r="K90" i="1"/>
  <c r="L90" i="1"/>
  <c r="M90" i="1"/>
  <c r="N90" i="1"/>
  <c r="O90" i="1"/>
  <c r="Q90" i="1"/>
  <c r="A91" i="1"/>
  <c r="B91" i="1"/>
  <c r="C91" i="1"/>
  <c r="D91" i="1"/>
  <c r="E91" i="1"/>
  <c r="F91" i="1"/>
  <c r="H91" i="1"/>
  <c r="I91" i="1"/>
  <c r="J91" i="1"/>
  <c r="K91" i="1"/>
  <c r="L91" i="1"/>
  <c r="M91" i="1"/>
  <c r="N91" i="1"/>
  <c r="O91" i="1"/>
  <c r="Q91" i="1"/>
  <c r="A92" i="1"/>
  <c r="B92" i="1"/>
  <c r="C92" i="1"/>
  <c r="D92" i="1"/>
  <c r="E92" i="1"/>
  <c r="F92" i="1"/>
  <c r="H92" i="1"/>
  <c r="I92" i="1"/>
  <c r="J92" i="1"/>
  <c r="K92" i="1"/>
  <c r="L92" i="1"/>
  <c r="M92" i="1"/>
  <c r="N92" i="1"/>
  <c r="O92" i="1"/>
  <c r="Q92" i="1"/>
  <c r="A93" i="1"/>
  <c r="B93" i="1"/>
  <c r="C93" i="1"/>
  <c r="D93" i="1"/>
  <c r="E93" i="1"/>
  <c r="F93" i="1"/>
  <c r="H93" i="1"/>
  <c r="I93" i="1"/>
  <c r="J93" i="1"/>
  <c r="K93" i="1"/>
  <c r="L93" i="1"/>
  <c r="M93" i="1"/>
  <c r="N93" i="1"/>
  <c r="O93" i="1"/>
  <c r="Q93" i="1"/>
  <c r="A94" i="1"/>
  <c r="B94" i="1"/>
  <c r="C94" i="1"/>
  <c r="D94" i="1"/>
  <c r="E94" i="1"/>
  <c r="F94" i="1"/>
  <c r="H94" i="1"/>
  <c r="I94" i="1"/>
  <c r="J94" i="1"/>
  <c r="K94" i="1"/>
  <c r="L94" i="1"/>
  <c r="M94" i="1"/>
  <c r="N94" i="1"/>
  <c r="O94" i="1"/>
  <c r="Q94" i="1"/>
  <c r="A95" i="1"/>
  <c r="B95" i="1"/>
  <c r="C95" i="1"/>
  <c r="D95" i="1"/>
  <c r="E95" i="1"/>
  <c r="F95" i="1"/>
  <c r="H95" i="1"/>
  <c r="I95" i="1"/>
  <c r="J95" i="1"/>
  <c r="K95" i="1"/>
  <c r="L95" i="1"/>
  <c r="M95" i="1"/>
  <c r="N95" i="1"/>
  <c r="O95" i="1"/>
  <c r="Q95" i="1"/>
  <c r="A96" i="1"/>
  <c r="B96" i="1"/>
  <c r="C96" i="1"/>
  <c r="D96" i="1"/>
  <c r="E96" i="1"/>
  <c r="F96" i="1"/>
  <c r="H96" i="1"/>
  <c r="I96" i="1"/>
  <c r="J96" i="1"/>
  <c r="K96" i="1"/>
  <c r="L96" i="1"/>
  <c r="M96" i="1"/>
  <c r="N96" i="1"/>
  <c r="O96" i="1"/>
  <c r="Q96" i="1"/>
  <c r="A97" i="1"/>
  <c r="B97" i="1"/>
  <c r="C97" i="1"/>
  <c r="D97" i="1"/>
  <c r="E97" i="1"/>
  <c r="F97" i="1"/>
  <c r="H97" i="1"/>
  <c r="I97" i="1"/>
  <c r="J97" i="1"/>
  <c r="K97" i="1"/>
  <c r="L97" i="1"/>
  <c r="M97" i="1"/>
  <c r="N97" i="1"/>
  <c r="O97" i="1"/>
  <c r="Q97" i="1"/>
  <c r="A98" i="1"/>
  <c r="B98" i="1"/>
  <c r="C98" i="1"/>
  <c r="D98" i="1"/>
  <c r="E98" i="1"/>
  <c r="F98" i="1"/>
  <c r="H98" i="1"/>
  <c r="I98" i="1"/>
  <c r="J98" i="1"/>
  <c r="K98" i="1"/>
  <c r="L98" i="1"/>
  <c r="M98" i="1"/>
  <c r="N98" i="1"/>
  <c r="O98" i="1"/>
  <c r="Q98" i="1"/>
  <c r="A99" i="1"/>
  <c r="B99" i="1"/>
  <c r="C99" i="1"/>
  <c r="D99" i="1"/>
  <c r="E99" i="1"/>
  <c r="F99" i="1"/>
  <c r="H99" i="1"/>
  <c r="I99" i="1"/>
  <c r="J99" i="1"/>
  <c r="K99" i="1"/>
  <c r="L99" i="1"/>
  <c r="M99" i="1"/>
  <c r="N99" i="1"/>
  <c r="O99" i="1"/>
  <c r="Q99" i="1"/>
  <c r="A100" i="1"/>
  <c r="B100" i="1"/>
  <c r="C100" i="1"/>
  <c r="D100" i="1"/>
  <c r="E100" i="1"/>
  <c r="F100" i="1"/>
  <c r="H100" i="1"/>
  <c r="I100" i="1"/>
  <c r="J100" i="1"/>
  <c r="K100" i="1"/>
  <c r="L100" i="1"/>
  <c r="M100" i="1"/>
  <c r="N100" i="1"/>
  <c r="O100" i="1"/>
  <c r="Q100" i="1"/>
  <c r="A101" i="1"/>
  <c r="B101" i="1"/>
  <c r="C101" i="1"/>
  <c r="D101" i="1"/>
  <c r="E101" i="1"/>
  <c r="F101" i="1"/>
  <c r="H101" i="1"/>
  <c r="I101" i="1"/>
  <c r="J101" i="1"/>
  <c r="K101" i="1"/>
  <c r="L101" i="1"/>
  <c r="M101" i="1"/>
  <c r="N101" i="1"/>
  <c r="O101" i="1"/>
  <c r="Q101" i="1"/>
  <c r="A102" i="1"/>
  <c r="B102" i="1"/>
  <c r="C102" i="1"/>
  <c r="D102" i="1"/>
  <c r="E102" i="1"/>
  <c r="F102" i="1"/>
  <c r="H102" i="1"/>
  <c r="I102" i="1"/>
  <c r="J102" i="1"/>
  <c r="K102" i="1"/>
  <c r="L102" i="1"/>
  <c r="M102" i="1"/>
  <c r="N102" i="1"/>
  <c r="O102" i="1"/>
  <c r="Q102" i="1"/>
  <c r="A103" i="1"/>
  <c r="B103" i="1"/>
  <c r="C103" i="1"/>
  <c r="D103" i="1"/>
  <c r="E103" i="1"/>
  <c r="F103" i="1"/>
  <c r="H103" i="1"/>
  <c r="I103" i="1"/>
  <c r="J103" i="1"/>
  <c r="K103" i="1"/>
  <c r="L103" i="1"/>
  <c r="M103" i="1"/>
  <c r="N103" i="1"/>
  <c r="O103" i="1"/>
  <c r="Q103" i="1"/>
  <c r="A104" i="1"/>
  <c r="B104" i="1"/>
  <c r="C104" i="1"/>
  <c r="D104" i="1"/>
  <c r="E104" i="1"/>
  <c r="F104" i="1"/>
  <c r="H104" i="1"/>
  <c r="I104" i="1"/>
  <c r="J104" i="1"/>
  <c r="K104" i="1"/>
  <c r="L104" i="1"/>
  <c r="M104" i="1"/>
  <c r="N104" i="1"/>
  <c r="O104" i="1"/>
  <c r="Q104" i="1"/>
  <c r="A105" i="1"/>
  <c r="B105" i="1"/>
  <c r="C105" i="1"/>
  <c r="D105" i="1"/>
  <c r="E105" i="1"/>
  <c r="F105" i="1"/>
  <c r="H105" i="1"/>
  <c r="I105" i="1"/>
  <c r="J105" i="1"/>
  <c r="K105" i="1"/>
  <c r="L105" i="1"/>
  <c r="M105" i="1"/>
  <c r="N105" i="1"/>
  <c r="O105" i="1"/>
  <c r="Q105" i="1"/>
  <c r="A106" i="1"/>
  <c r="B106" i="1"/>
  <c r="C106" i="1"/>
  <c r="D106" i="1"/>
  <c r="E106" i="1"/>
  <c r="F106" i="1"/>
  <c r="H106" i="1"/>
  <c r="I106" i="1"/>
  <c r="J106" i="1"/>
  <c r="K106" i="1"/>
  <c r="L106" i="1"/>
  <c r="M106" i="1"/>
  <c r="N106" i="1"/>
  <c r="O106" i="1"/>
  <c r="Q106" i="1"/>
  <c r="A107" i="1"/>
  <c r="B107" i="1"/>
  <c r="C107" i="1"/>
  <c r="D107" i="1"/>
  <c r="E107" i="1"/>
  <c r="F107" i="1"/>
  <c r="H107" i="1"/>
  <c r="I107" i="1"/>
  <c r="J107" i="1"/>
  <c r="K107" i="1"/>
  <c r="L107" i="1"/>
  <c r="M107" i="1"/>
  <c r="N107" i="1"/>
  <c r="O107" i="1"/>
  <c r="Q107" i="1"/>
  <c r="A108" i="1"/>
  <c r="B108" i="1"/>
  <c r="C108" i="1"/>
  <c r="D108" i="1"/>
  <c r="E108" i="1"/>
  <c r="F108" i="1"/>
  <c r="H108" i="1"/>
  <c r="I108" i="1"/>
  <c r="J108" i="1"/>
  <c r="K108" i="1"/>
  <c r="L108" i="1"/>
  <c r="M108" i="1"/>
  <c r="N108" i="1"/>
  <c r="O108" i="1"/>
  <c r="Q108" i="1"/>
  <c r="A109" i="1"/>
  <c r="B109" i="1"/>
  <c r="C109" i="1"/>
  <c r="D109" i="1"/>
  <c r="E109" i="1"/>
  <c r="F109" i="1"/>
  <c r="H109" i="1"/>
  <c r="I109" i="1"/>
  <c r="J109" i="1"/>
  <c r="K109" i="1"/>
  <c r="L109" i="1"/>
  <c r="M109" i="1"/>
  <c r="N109" i="1"/>
  <c r="O109" i="1"/>
  <c r="Q109" i="1"/>
  <c r="A110" i="1"/>
  <c r="B110" i="1"/>
  <c r="C110" i="1"/>
  <c r="D110" i="1"/>
  <c r="E110" i="1"/>
  <c r="F110" i="1"/>
  <c r="H110" i="1"/>
  <c r="I110" i="1"/>
  <c r="J110" i="1"/>
  <c r="K110" i="1"/>
  <c r="L110" i="1"/>
  <c r="M110" i="1"/>
  <c r="N110" i="1"/>
  <c r="O110" i="1"/>
  <c r="Q110" i="1"/>
  <c r="A111" i="1"/>
  <c r="B111" i="1"/>
  <c r="C111" i="1"/>
  <c r="D111" i="1"/>
  <c r="E111" i="1"/>
  <c r="F111" i="1"/>
  <c r="H111" i="1"/>
  <c r="I111" i="1"/>
  <c r="J111" i="1"/>
  <c r="K111" i="1"/>
  <c r="L111" i="1"/>
  <c r="M111" i="1"/>
  <c r="N111" i="1"/>
  <c r="O111" i="1"/>
  <c r="Q111" i="1"/>
  <c r="A112" i="1"/>
  <c r="B112" i="1"/>
  <c r="C112" i="1"/>
  <c r="D112" i="1"/>
  <c r="E112" i="1"/>
  <c r="F112" i="1"/>
  <c r="H112" i="1"/>
  <c r="I112" i="1"/>
  <c r="J112" i="1"/>
  <c r="K112" i="1"/>
  <c r="L112" i="1"/>
  <c r="M112" i="1"/>
  <c r="N112" i="1"/>
  <c r="O112" i="1"/>
  <c r="Q112" i="1"/>
  <c r="A113" i="1"/>
  <c r="B113" i="1"/>
  <c r="C113" i="1"/>
  <c r="D113" i="1"/>
  <c r="E113" i="1"/>
  <c r="F113" i="1"/>
  <c r="H113" i="1"/>
  <c r="I113" i="1"/>
  <c r="J113" i="1"/>
  <c r="K113" i="1"/>
  <c r="L113" i="1"/>
  <c r="M113" i="1"/>
  <c r="N113" i="1"/>
  <c r="O113" i="1"/>
  <c r="Q113" i="1"/>
  <c r="A114" i="1"/>
  <c r="B114" i="1"/>
  <c r="C114" i="1"/>
  <c r="D114" i="1"/>
  <c r="E114" i="1"/>
  <c r="F114" i="1"/>
  <c r="H114" i="1"/>
  <c r="I114" i="1"/>
  <c r="J114" i="1"/>
  <c r="K114" i="1"/>
  <c r="L114" i="1"/>
  <c r="M114" i="1"/>
  <c r="N114" i="1"/>
  <c r="O114" i="1"/>
  <c r="Q114" i="1"/>
  <c r="A115" i="1"/>
  <c r="B115" i="1"/>
  <c r="C115" i="1"/>
  <c r="D115" i="1"/>
  <c r="E115" i="1"/>
  <c r="F115" i="1"/>
  <c r="H115" i="1"/>
  <c r="I115" i="1"/>
  <c r="J115" i="1"/>
  <c r="K115" i="1"/>
  <c r="L115" i="1"/>
  <c r="M115" i="1"/>
  <c r="N115" i="1"/>
  <c r="O115" i="1"/>
  <c r="Q115" i="1"/>
  <c r="A116" i="1"/>
  <c r="B116" i="1"/>
  <c r="C116" i="1"/>
  <c r="D116" i="1"/>
  <c r="E116" i="1"/>
  <c r="F116" i="1"/>
  <c r="H116" i="1"/>
  <c r="I116" i="1"/>
  <c r="J116" i="1"/>
  <c r="K116" i="1"/>
  <c r="L116" i="1"/>
  <c r="M116" i="1"/>
  <c r="N116" i="1"/>
  <c r="O116" i="1"/>
  <c r="Q116" i="1"/>
  <c r="A117" i="1"/>
  <c r="B117" i="1"/>
  <c r="C117" i="1"/>
  <c r="D117" i="1"/>
  <c r="E117" i="1"/>
  <c r="F117" i="1"/>
  <c r="H117" i="1"/>
  <c r="I117" i="1"/>
  <c r="J117" i="1"/>
  <c r="K117" i="1"/>
  <c r="L117" i="1"/>
  <c r="M117" i="1"/>
  <c r="N117" i="1"/>
  <c r="O117" i="1"/>
  <c r="Q117" i="1"/>
  <c r="A118" i="1"/>
  <c r="B118" i="1"/>
  <c r="C118" i="1"/>
  <c r="D118" i="1"/>
  <c r="E118" i="1"/>
  <c r="F118" i="1"/>
  <c r="H118" i="1"/>
  <c r="I118" i="1"/>
  <c r="J118" i="1"/>
  <c r="K118" i="1"/>
  <c r="L118" i="1"/>
  <c r="M118" i="1"/>
  <c r="N118" i="1"/>
  <c r="O118" i="1"/>
  <c r="Q118" i="1"/>
  <c r="A119" i="1"/>
  <c r="B119" i="1"/>
  <c r="C119" i="1"/>
  <c r="D119" i="1"/>
  <c r="E119" i="1"/>
  <c r="F119" i="1"/>
  <c r="H119" i="1"/>
  <c r="I119" i="1"/>
  <c r="J119" i="1"/>
  <c r="K119" i="1"/>
  <c r="L119" i="1"/>
  <c r="M119" i="1"/>
  <c r="N119" i="1"/>
  <c r="O119" i="1"/>
  <c r="Q119" i="1"/>
  <c r="A120" i="1"/>
  <c r="B120" i="1"/>
  <c r="C120" i="1"/>
  <c r="D120" i="1"/>
  <c r="E120" i="1"/>
  <c r="F120" i="1"/>
  <c r="H120" i="1"/>
  <c r="I120" i="1"/>
  <c r="J120" i="1"/>
  <c r="K120" i="1"/>
  <c r="L120" i="1"/>
  <c r="M120" i="1"/>
  <c r="N120" i="1"/>
  <c r="O120" i="1"/>
  <c r="Q120" i="1"/>
  <c r="A121" i="1"/>
  <c r="B121" i="1"/>
  <c r="C121" i="1"/>
  <c r="D121" i="1"/>
  <c r="E121" i="1"/>
  <c r="F121" i="1"/>
  <c r="H121" i="1"/>
  <c r="I121" i="1"/>
  <c r="J121" i="1"/>
  <c r="K121" i="1"/>
  <c r="L121" i="1"/>
  <c r="M121" i="1"/>
  <c r="N121" i="1"/>
  <c r="O121" i="1"/>
  <c r="Q121" i="1"/>
  <c r="A122" i="1"/>
  <c r="B122" i="1"/>
  <c r="C122" i="1"/>
  <c r="D122" i="1"/>
  <c r="E122" i="1"/>
  <c r="F122" i="1"/>
  <c r="H122" i="1"/>
  <c r="I122" i="1"/>
  <c r="J122" i="1"/>
  <c r="K122" i="1"/>
  <c r="L122" i="1"/>
  <c r="M122" i="1"/>
  <c r="N122" i="1"/>
  <c r="O122" i="1"/>
  <c r="Q122" i="1"/>
  <c r="A123" i="1"/>
  <c r="B123" i="1"/>
  <c r="C123" i="1"/>
  <c r="D123" i="1"/>
  <c r="E123" i="1"/>
  <c r="F123" i="1"/>
  <c r="H123" i="1"/>
  <c r="I123" i="1"/>
  <c r="J123" i="1"/>
  <c r="K123" i="1"/>
  <c r="L123" i="1"/>
  <c r="M123" i="1"/>
  <c r="N123" i="1"/>
  <c r="O123" i="1"/>
  <c r="Q123" i="1"/>
  <c r="A124" i="1"/>
  <c r="B124" i="1"/>
  <c r="C124" i="1"/>
  <c r="D124" i="1"/>
  <c r="E124" i="1"/>
  <c r="F124" i="1"/>
  <c r="H124" i="1"/>
  <c r="I124" i="1"/>
  <c r="J124" i="1"/>
  <c r="K124" i="1"/>
  <c r="L124" i="1"/>
  <c r="M124" i="1"/>
  <c r="N124" i="1"/>
  <c r="O124" i="1"/>
  <c r="Q124" i="1"/>
  <c r="A125" i="1"/>
  <c r="B125" i="1"/>
  <c r="C125" i="1"/>
  <c r="D125" i="1"/>
  <c r="E125" i="1"/>
  <c r="F125" i="1"/>
  <c r="H125" i="1"/>
  <c r="I125" i="1"/>
  <c r="J125" i="1"/>
  <c r="K125" i="1"/>
  <c r="L125" i="1"/>
  <c r="M125" i="1"/>
  <c r="N125" i="1"/>
  <c r="O125" i="1"/>
  <c r="Q125" i="1"/>
  <c r="A126" i="1"/>
  <c r="B126" i="1"/>
  <c r="C126" i="1"/>
  <c r="D126" i="1"/>
  <c r="E126" i="1"/>
  <c r="F126" i="1"/>
  <c r="H126" i="1"/>
  <c r="I126" i="1"/>
  <c r="J126" i="1"/>
  <c r="K126" i="1"/>
  <c r="L126" i="1"/>
  <c r="M126" i="1"/>
  <c r="N126" i="1"/>
  <c r="O126" i="1"/>
  <c r="Q126" i="1"/>
  <c r="A127" i="1"/>
  <c r="B127" i="1"/>
  <c r="C127" i="1"/>
  <c r="D127" i="1"/>
  <c r="E127" i="1"/>
  <c r="F127" i="1"/>
  <c r="H127" i="1"/>
  <c r="I127" i="1"/>
  <c r="J127" i="1"/>
  <c r="K127" i="1"/>
  <c r="L127" i="1"/>
  <c r="M127" i="1"/>
  <c r="N127" i="1"/>
  <c r="O127" i="1"/>
  <c r="Q127" i="1"/>
  <c r="A128" i="1"/>
  <c r="B128" i="1"/>
  <c r="C128" i="1"/>
  <c r="D128" i="1"/>
  <c r="E128" i="1"/>
  <c r="F128" i="1"/>
  <c r="H128" i="1"/>
  <c r="I128" i="1"/>
  <c r="J128" i="1"/>
  <c r="K128" i="1"/>
  <c r="L128" i="1"/>
  <c r="M128" i="1"/>
  <c r="N128" i="1"/>
  <c r="O128" i="1"/>
  <c r="Q128" i="1"/>
  <c r="A129" i="1"/>
  <c r="B129" i="1"/>
  <c r="C129" i="1"/>
  <c r="D129" i="1"/>
  <c r="E129" i="1"/>
  <c r="F129" i="1"/>
  <c r="H129" i="1"/>
  <c r="I129" i="1"/>
  <c r="J129" i="1"/>
  <c r="K129" i="1"/>
  <c r="L129" i="1"/>
  <c r="M129" i="1"/>
  <c r="N129" i="1"/>
  <c r="O129" i="1"/>
  <c r="Q129" i="1"/>
  <c r="A130" i="1"/>
  <c r="B130" i="1"/>
  <c r="C130" i="1"/>
  <c r="D130" i="1"/>
  <c r="E130" i="1"/>
  <c r="F130" i="1"/>
  <c r="H130" i="1"/>
  <c r="I130" i="1"/>
  <c r="J130" i="1"/>
  <c r="K130" i="1"/>
  <c r="L130" i="1"/>
  <c r="M130" i="1"/>
  <c r="N130" i="1"/>
  <c r="O130" i="1"/>
  <c r="Q130" i="1"/>
  <c r="A131" i="1"/>
  <c r="B131" i="1"/>
  <c r="C131" i="1"/>
  <c r="D131" i="1"/>
  <c r="E131" i="1"/>
  <c r="F131" i="1"/>
  <c r="H131" i="1"/>
  <c r="I131" i="1"/>
  <c r="J131" i="1"/>
  <c r="K131" i="1"/>
  <c r="L131" i="1"/>
  <c r="M131" i="1"/>
  <c r="N131" i="1"/>
  <c r="O131" i="1"/>
  <c r="Q131" i="1"/>
  <c r="A132" i="1"/>
  <c r="B132" i="1"/>
  <c r="C132" i="1"/>
  <c r="D132" i="1"/>
  <c r="E132" i="1"/>
  <c r="F132" i="1"/>
  <c r="H132" i="1"/>
  <c r="I132" i="1"/>
  <c r="J132" i="1"/>
  <c r="K132" i="1"/>
  <c r="L132" i="1"/>
  <c r="M132" i="1"/>
  <c r="N132" i="1"/>
  <c r="O132" i="1"/>
  <c r="Q132" i="1"/>
  <c r="A133" i="1"/>
  <c r="B133" i="1"/>
  <c r="C133" i="1"/>
  <c r="D133" i="1"/>
  <c r="E133" i="1"/>
  <c r="F133" i="1"/>
  <c r="H133" i="1"/>
  <c r="I133" i="1"/>
  <c r="J133" i="1"/>
  <c r="K133" i="1"/>
  <c r="L133" i="1"/>
  <c r="M133" i="1"/>
  <c r="N133" i="1"/>
  <c r="O133" i="1"/>
  <c r="Q133" i="1"/>
  <c r="A134" i="1"/>
  <c r="B134" i="1"/>
  <c r="C134" i="1"/>
  <c r="D134" i="1"/>
  <c r="E134" i="1"/>
  <c r="F134" i="1"/>
  <c r="H134" i="1"/>
  <c r="I134" i="1"/>
  <c r="J134" i="1"/>
  <c r="K134" i="1"/>
  <c r="L134" i="1"/>
  <c r="M134" i="1"/>
  <c r="N134" i="1"/>
  <c r="O134" i="1"/>
  <c r="Q134" i="1"/>
  <c r="A135" i="1"/>
  <c r="B135" i="1"/>
  <c r="C135" i="1"/>
  <c r="D135" i="1"/>
  <c r="E135" i="1"/>
  <c r="F135" i="1"/>
  <c r="H135" i="1"/>
  <c r="I135" i="1"/>
  <c r="J135" i="1"/>
  <c r="K135" i="1"/>
  <c r="L135" i="1"/>
  <c r="M135" i="1"/>
  <c r="N135" i="1"/>
  <c r="O135" i="1"/>
  <c r="Q135" i="1"/>
  <c r="A136" i="1"/>
  <c r="B136" i="1"/>
  <c r="C136" i="1"/>
  <c r="D136" i="1"/>
  <c r="E136" i="1"/>
  <c r="F136" i="1"/>
  <c r="H136" i="1"/>
  <c r="I136" i="1"/>
  <c r="J136" i="1"/>
  <c r="K136" i="1"/>
  <c r="L136" i="1"/>
  <c r="M136" i="1"/>
  <c r="N136" i="1"/>
  <c r="O136" i="1"/>
  <c r="Q136" i="1"/>
  <c r="A137" i="1"/>
  <c r="B137" i="1"/>
  <c r="C137" i="1"/>
  <c r="D137" i="1"/>
  <c r="E137" i="1"/>
  <c r="F137" i="1"/>
  <c r="H137" i="1"/>
  <c r="I137" i="1"/>
  <c r="J137" i="1"/>
  <c r="K137" i="1"/>
  <c r="L137" i="1"/>
  <c r="M137" i="1"/>
  <c r="N137" i="1"/>
  <c r="O137" i="1"/>
  <c r="Q137" i="1"/>
  <c r="A138" i="1"/>
  <c r="B138" i="1"/>
  <c r="C138" i="1"/>
  <c r="D138" i="1"/>
  <c r="E138" i="1"/>
  <c r="F138" i="1"/>
  <c r="H138" i="1"/>
  <c r="I138" i="1"/>
  <c r="J138" i="1"/>
  <c r="K138" i="1"/>
  <c r="L138" i="1"/>
  <c r="M138" i="1"/>
  <c r="N138" i="1"/>
  <c r="O138" i="1"/>
  <c r="Q138" i="1"/>
  <c r="A139" i="1"/>
  <c r="B139" i="1"/>
  <c r="C139" i="1"/>
  <c r="D139" i="1"/>
  <c r="E139" i="1"/>
  <c r="F139" i="1"/>
  <c r="H139" i="1"/>
  <c r="I139" i="1"/>
  <c r="J139" i="1"/>
  <c r="K139" i="1"/>
  <c r="L139" i="1"/>
  <c r="M139" i="1"/>
  <c r="N139" i="1"/>
  <c r="O139" i="1"/>
  <c r="Q139" i="1"/>
  <c r="A140" i="1"/>
  <c r="B140" i="1"/>
  <c r="C140" i="1"/>
  <c r="D140" i="1"/>
  <c r="E140" i="1"/>
  <c r="F140" i="1"/>
  <c r="H140" i="1"/>
  <c r="I140" i="1"/>
  <c r="J140" i="1"/>
  <c r="K140" i="1"/>
  <c r="L140" i="1"/>
  <c r="M140" i="1"/>
  <c r="N140" i="1"/>
  <c r="O140" i="1"/>
  <c r="Q140" i="1"/>
  <c r="A141" i="1"/>
  <c r="B141" i="1"/>
  <c r="C141" i="1"/>
  <c r="D141" i="1"/>
  <c r="E141" i="1"/>
  <c r="F141" i="1"/>
  <c r="H141" i="1"/>
  <c r="I141" i="1"/>
  <c r="J141" i="1"/>
  <c r="K141" i="1"/>
  <c r="L141" i="1"/>
  <c r="M141" i="1"/>
  <c r="N141" i="1"/>
  <c r="O141" i="1"/>
  <c r="Q141" i="1"/>
  <c r="A142" i="1"/>
  <c r="B142" i="1"/>
  <c r="C142" i="1"/>
  <c r="D142" i="1"/>
  <c r="E142" i="1"/>
  <c r="F142" i="1"/>
  <c r="H142" i="1"/>
  <c r="I142" i="1"/>
  <c r="J142" i="1"/>
  <c r="K142" i="1"/>
  <c r="L142" i="1"/>
  <c r="M142" i="1"/>
  <c r="N142" i="1"/>
  <c r="O142" i="1"/>
  <c r="Q142" i="1"/>
  <c r="A143" i="1"/>
  <c r="B143" i="1"/>
  <c r="C143" i="1"/>
  <c r="D143" i="1"/>
  <c r="E143" i="1"/>
  <c r="F143" i="1"/>
  <c r="H143" i="1"/>
  <c r="I143" i="1"/>
  <c r="J143" i="1"/>
  <c r="K143" i="1"/>
  <c r="L143" i="1"/>
  <c r="M143" i="1"/>
  <c r="N143" i="1"/>
  <c r="O143" i="1"/>
  <c r="Q143" i="1"/>
  <c r="A144" i="1"/>
  <c r="B144" i="1"/>
  <c r="C144" i="1"/>
  <c r="D144" i="1"/>
  <c r="E144" i="1"/>
  <c r="F144" i="1"/>
  <c r="H144" i="1"/>
  <c r="I144" i="1"/>
  <c r="J144" i="1"/>
  <c r="K144" i="1"/>
  <c r="L144" i="1"/>
  <c r="M144" i="1"/>
  <c r="N144" i="1"/>
  <c r="O144" i="1"/>
  <c r="Q144" i="1"/>
  <c r="A145" i="1"/>
  <c r="B145" i="1"/>
  <c r="C145" i="1"/>
  <c r="D145" i="1"/>
  <c r="E145" i="1"/>
  <c r="F145" i="1"/>
  <c r="H145" i="1"/>
  <c r="I145" i="1"/>
  <c r="J145" i="1"/>
  <c r="K145" i="1"/>
  <c r="L145" i="1"/>
  <c r="M145" i="1"/>
  <c r="N145" i="1"/>
  <c r="O145" i="1"/>
  <c r="Q145" i="1"/>
  <c r="A146" i="1"/>
  <c r="B146" i="1"/>
  <c r="C146" i="1"/>
  <c r="D146" i="1"/>
  <c r="E146" i="1"/>
  <c r="F146" i="1"/>
  <c r="H146" i="1"/>
  <c r="I146" i="1"/>
  <c r="J146" i="1"/>
  <c r="K146" i="1"/>
  <c r="L146" i="1"/>
  <c r="M146" i="1"/>
  <c r="N146" i="1"/>
  <c r="O146" i="1"/>
  <c r="Q146" i="1"/>
  <c r="A147" i="1"/>
  <c r="B147" i="1"/>
  <c r="C147" i="1"/>
  <c r="D147" i="1"/>
  <c r="E147" i="1"/>
  <c r="F147" i="1"/>
  <c r="H147" i="1"/>
  <c r="I147" i="1"/>
  <c r="J147" i="1"/>
  <c r="K147" i="1"/>
  <c r="L147" i="1"/>
  <c r="M147" i="1"/>
  <c r="N147" i="1"/>
  <c r="O147" i="1"/>
  <c r="Q147" i="1"/>
  <c r="A148" i="1"/>
  <c r="B148" i="1"/>
  <c r="C148" i="1"/>
  <c r="D148" i="1"/>
  <c r="E148" i="1"/>
  <c r="F148" i="1"/>
  <c r="H148" i="1"/>
  <c r="I148" i="1"/>
  <c r="J148" i="1"/>
  <c r="K148" i="1"/>
  <c r="L148" i="1"/>
  <c r="M148" i="1"/>
  <c r="N148" i="1"/>
  <c r="O148" i="1"/>
  <c r="Q148" i="1"/>
  <c r="A149" i="1"/>
  <c r="B149" i="1"/>
  <c r="C149" i="1"/>
  <c r="D149" i="1"/>
  <c r="E149" i="1"/>
  <c r="F149" i="1"/>
  <c r="H149" i="1"/>
  <c r="I149" i="1"/>
  <c r="J149" i="1"/>
  <c r="K149" i="1"/>
  <c r="L149" i="1"/>
  <c r="M149" i="1"/>
  <c r="N149" i="1"/>
  <c r="O149" i="1"/>
  <c r="Q149" i="1"/>
  <c r="A150" i="1"/>
  <c r="B150" i="1"/>
  <c r="C150" i="1"/>
  <c r="D150" i="1"/>
  <c r="E150" i="1"/>
  <c r="F150" i="1"/>
  <c r="H150" i="1"/>
  <c r="I150" i="1"/>
  <c r="J150" i="1"/>
  <c r="K150" i="1"/>
  <c r="L150" i="1"/>
  <c r="M150" i="1"/>
  <c r="N150" i="1"/>
  <c r="O150" i="1"/>
  <c r="Q150" i="1"/>
  <c r="A151" i="1"/>
  <c r="B151" i="1"/>
  <c r="C151" i="1"/>
  <c r="D151" i="1"/>
  <c r="E151" i="1"/>
  <c r="F151" i="1"/>
  <c r="H151" i="1"/>
  <c r="I151" i="1"/>
  <c r="J151" i="1"/>
  <c r="K151" i="1"/>
  <c r="L151" i="1"/>
  <c r="M151" i="1"/>
  <c r="N151" i="1"/>
  <c r="O151" i="1"/>
  <c r="Q151" i="1"/>
  <c r="A152" i="1"/>
  <c r="B152" i="1"/>
  <c r="C152" i="1"/>
  <c r="D152" i="1"/>
  <c r="E152" i="1"/>
  <c r="F152" i="1"/>
  <c r="H152" i="1"/>
  <c r="I152" i="1"/>
  <c r="J152" i="1"/>
  <c r="K152" i="1"/>
  <c r="L152" i="1"/>
  <c r="M152" i="1"/>
  <c r="N152" i="1"/>
  <c r="O152" i="1"/>
  <c r="Q152" i="1"/>
  <c r="A153" i="1"/>
  <c r="B153" i="1"/>
  <c r="C153" i="1"/>
  <c r="D153" i="1"/>
  <c r="E153" i="1"/>
  <c r="F153" i="1"/>
  <c r="H153" i="1"/>
  <c r="I153" i="1"/>
  <c r="J153" i="1"/>
  <c r="K153" i="1"/>
  <c r="L153" i="1"/>
  <c r="M153" i="1"/>
  <c r="N153" i="1"/>
  <c r="O153" i="1"/>
  <c r="Q153" i="1"/>
  <c r="A154" i="1"/>
  <c r="B154" i="1"/>
  <c r="C154" i="1"/>
  <c r="D154" i="1"/>
  <c r="E154" i="1"/>
  <c r="F154" i="1"/>
  <c r="H154" i="1"/>
  <c r="I154" i="1"/>
  <c r="J154" i="1"/>
  <c r="K154" i="1"/>
  <c r="L154" i="1"/>
  <c r="M154" i="1"/>
  <c r="N154" i="1"/>
  <c r="O154" i="1"/>
  <c r="Q154" i="1"/>
  <c r="A155" i="1"/>
  <c r="B155" i="1"/>
  <c r="C155" i="1"/>
  <c r="D155" i="1"/>
  <c r="E155" i="1"/>
  <c r="F155" i="1"/>
  <c r="H155" i="1"/>
  <c r="I155" i="1"/>
  <c r="J155" i="1"/>
  <c r="K155" i="1"/>
  <c r="L155" i="1"/>
  <c r="M155" i="1"/>
  <c r="N155" i="1"/>
  <c r="O155" i="1"/>
  <c r="Q155" i="1"/>
  <c r="A156" i="1"/>
  <c r="B156" i="1"/>
  <c r="C156" i="1"/>
  <c r="D156" i="1"/>
  <c r="E156" i="1"/>
  <c r="F156" i="1"/>
  <c r="H156" i="1"/>
  <c r="I156" i="1"/>
  <c r="J156" i="1"/>
  <c r="K156" i="1"/>
  <c r="L156" i="1"/>
  <c r="M156" i="1"/>
  <c r="N156" i="1"/>
  <c r="O156" i="1"/>
  <c r="Q156" i="1"/>
  <c r="A157" i="1"/>
  <c r="B157" i="1"/>
  <c r="C157" i="1"/>
  <c r="D157" i="1"/>
  <c r="E157" i="1"/>
  <c r="F157" i="1"/>
  <c r="H157" i="1"/>
  <c r="I157" i="1"/>
  <c r="J157" i="1"/>
  <c r="K157" i="1"/>
  <c r="L157" i="1"/>
  <c r="M157" i="1"/>
  <c r="N157" i="1"/>
  <c r="O157" i="1"/>
  <c r="Q157" i="1"/>
  <c r="A158" i="1"/>
  <c r="B158" i="1"/>
  <c r="C158" i="1"/>
  <c r="D158" i="1"/>
  <c r="E158" i="1"/>
  <c r="F158" i="1"/>
  <c r="H158" i="1"/>
  <c r="I158" i="1"/>
  <c r="J158" i="1"/>
  <c r="K158" i="1"/>
  <c r="L158" i="1"/>
  <c r="M158" i="1"/>
  <c r="N158" i="1"/>
  <c r="O158" i="1"/>
  <c r="Q158" i="1"/>
  <c r="A159" i="1"/>
  <c r="B159" i="1"/>
  <c r="C159" i="1"/>
  <c r="D159" i="1"/>
  <c r="E159" i="1"/>
  <c r="F159" i="1"/>
  <c r="H159" i="1"/>
  <c r="I159" i="1"/>
  <c r="J159" i="1"/>
  <c r="K159" i="1"/>
  <c r="L159" i="1"/>
  <c r="M159" i="1"/>
  <c r="N159" i="1"/>
  <c r="O159" i="1"/>
  <c r="Q159" i="1"/>
  <c r="A160" i="1"/>
  <c r="B160" i="1"/>
  <c r="C160" i="1"/>
  <c r="D160" i="1"/>
  <c r="E160" i="1"/>
  <c r="F160" i="1"/>
  <c r="H160" i="1"/>
  <c r="I160" i="1"/>
  <c r="J160" i="1"/>
  <c r="K160" i="1"/>
  <c r="L160" i="1"/>
  <c r="M160" i="1"/>
  <c r="N160" i="1"/>
  <c r="O160" i="1"/>
  <c r="Q160" i="1"/>
  <c r="A161" i="1"/>
  <c r="B161" i="1"/>
  <c r="C161" i="1"/>
  <c r="D161" i="1"/>
  <c r="E161" i="1"/>
  <c r="F161" i="1"/>
  <c r="H161" i="1"/>
  <c r="I161" i="1"/>
  <c r="J161" i="1"/>
  <c r="K161" i="1"/>
  <c r="L161" i="1"/>
  <c r="M161" i="1"/>
  <c r="N161" i="1"/>
  <c r="O161" i="1"/>
  <c r="Q161" i="1"/>
  <c r="A162" i="1"/>
  <c r="B162" i="1"/>
  <c r="C162" i="1"/>
  <c r="D162" i="1"/>
  <c r="E162" i="1"/>
  <c r="F162" i="1"/>
  <c r="H162" i="1"/>
  <c r="I162" i="1"/>
  <c r="J162" i="1"/>
  <c r="K162" i="1"/>
  <c r="L162" i="1"/>
  <c r="M162" i="1"/>
  <c r="N162" i="1"/>
  <c r="O162" i="1"/>
  <c r="Q162" i="1"/>
  <c r="A163" i="1"/>
  <c r="B163" i="1"/>
  <c r="C163" i="1"/>
  <c r="D163" i="1"/>
  <c r="E163" i="1"/>
  <c r="F163" i="1"/>
  <c r="H163" i="1"/>
  <c r="I163" i="1"/>
  <c r="J163" i="1"/>
  <c r="K163" i="1"/>
  <c r="L163" i="1"/>
  <c r="M163" i="1"/>
  <c r="N163" i="1"/>
  <c r="O163" i="1"/>
  <c r="Q163" i="1"/>
  <c r="A164" i="1"/>
  <c r="B164" i="1"/>
  <c r="C164" i="1"/>
  <c r="D164" i="1"/>
  <c r="E164" i="1"/>
  <c r="F164" i="1"/>
  <c r="H164" i="1"/>
  <c r="I164" i="1"/>
  <c r="J164" i="1"/>
  <c r="K164" i="1"/>
  <c r="L164" i="1"/>
  <c r="M164" i="1"/>
  <c r="N164" i="1"/>
  <c r="O164" i="1"/>
  <c r="Q164" i="1"/>
  <c r="A165" i="1"/>
  <c r="B165" i="1"/>
  <c r="C165" i="1"/>
  <c r="D165" i="1"/>
  <c r="E165" i="1"/>
  <c r="F165" i="1"/>
  <c r="H165" i="1"/>
  <c r="I165" i="1"/>
  <c r="J165" i="1"/>
  <c r="K165" i="1"/>
  <c r="L165" i="1"/>
  <c r="M165" i="1"/>
  <c r="N165" i="1"/>
  <c r="O165" i="1"/>
  <c r="Q165" i="1"/>
  <c r="A166" i="1"/>
  <c r="B166" i="1"/>
  <c r="C166" i="1"/>
  <c r="D166" i="1"/>
  <c r="E166" i="1"/>
  <c r="F166" i="1"/>
  <c r="H166" i="1"/>
  <c r="I166" i="1"/>
  <c r="J166" i="1"/>
  <c r="K166" i="1"/>
  <c r="L166" i="1"/>
  <c r="M166" i="1"/>
  <c r="N166" i="1"/>
  <c r="O166" i="1"/>
  <c r="Q166" i="1"/>
  <c r="A167" i="1"/>
  <c r="B167" i="1"/>
  <c r="C167" i="1"/>
  <c r="D167" i="1"/>
  <c r="E167" i="1"/>
  <c r="F167" i="1"/>
  <c r="H167" i="1"/>
  <c r="I167" i="1"/>
  <c r="J167" i="1"/>
  <c r="K167" i="1"/>
  <c r="L167" i="1"/>
  <c r="M167" i="1"/>
  <c r="N167" i="1"/>
  <c r="O167" i="1"/>
  <c r="Q167" i="1"/>
  <c r="A168" i="1"/>
  <c r="B168" i="1"/>
  <c r="C168" i="1"/>
  <c r="D168" i="1"/>
  <c r="E168" i="1"/>
  <c r="F168" i="1"/>
  <c r="H168" i="1"/>
  <c r="I168" i="1"/>
  <c r="J168" i="1"/>
  <c r="K168" i="1"/>
  <c r="L168" i="1"/>
  <c r="M168" i="1"/>
  <c r="N168" i="1"/>
  <c r="O168" i="1"/>
  <c r="Q168" i="1"/>
  <c r="A169" i="1"/>
  <c r="B169" i="1"/>
  <c r="C169" i="1"/>
  <c r="D169" i="1"/>
  <c r="E169" i="1"/>
  <c r="F169" i="1"/>
  <c r="H169" i="1"/>
  <c r="I169" i="1"/>
  <c r="J169" i="1"/>
  <c r="K169" i="1"/>
  <c r="L169" i="1"/>
  <c r="M169" i="1"/>
  <c r="N169" i="1"/>
  <c r="O169" i="1"/>
  <c r="Q169" i="1"/>
  <c r="A170" i="1"/>
  <c r="B170" i="1"/>
  <c r="C170" i="1"/>
  <c r="D170" i="1"/>
  <c r="E170" i="1"/>
  <c r="F170" i="1"/>
  <c r="H170" i="1"/>
  <c r="I170" i="1"/>
  <c r="J170" i="1"/>
  <c r="K170" i="1"/>
  <c r="L170" i="1"/>
  <c r="M170" i="1"/>
  <c r="N170" i="1"/>
  <c r="O170" i="1"/>
  <c r="Q170" i="1"/>
  <c r="A171" i="1"/>
  <c r="B171" i="1"/>
  <c r="C171" i="1"/>
  <c r="D171" i="1"/>
  <c r="E171" i="1"/>
  <c r="F171" i="1"/>
  <c r="H171" i="1"/>
  <c r="I171" i="1"/>
  <c r="J171" i="1"/>
  <c r="K171" i="1"/>
  <c r="L171" i="1"/>
  <c r="M171" i="1"/>
  <c r="N171" i="1"/>
  <c r="O171" i="1"/>
  <c r="Q171" i="1"/>
  <c r="A172" i="1"/>
  <c r="B172" i="1"/>
  <c r="C172" i="1"/>
  <c r="D172" i="1"/>
  <c r="E172" i="1"/>
  <c r="F172" i="1"/>
  <c r="H172" i="1"/>
  <c r="I172" i="1"/>
  <c r="J172" i="1"/>
  <c r="K172" i="1"/>
  <c r="L172" i="1"/>
  <c r="M172" i="1"/>
  <c r="N172" i="1"/>
  <c r="O172" i="1"/>
  <c r="Q172" i="1"/>
  <c r="A173" i="1"/>
  <c r="B173" i="1"/>
  <c r="C173" i="1"/>
  <c r="D173" i="1"/>
  <c r="E173" i="1"/>
  <c r="F173" i="1"/>
  <c r="H173" i="1"/>
  <c r="I173" i="1"/>
  <c r="J173" i="1"/>
  <c r="K173" i="1"/>
  <c r="L173" i="1"/>
  <c r="M173" i="1"/>
  <c r="N173" i="1"/>
  <c r="O173" i="1"/>
  <c r="Q173" i="1"/>
  <c r="A174" i="1"/>
  <c r="B174" i="1"/>
  <c r="C174" i="1"/>
  <c r="D174" i="1"/>
  <c r="E174" i="1"/>
  <c r="F174" i="1"/>
  <c r="H174" i="1"/>
  <c r="I174" i="1"/>
  <c r="J174" i="1"/>
  <c r="K174" i="1"/>
  <c r="L174" i="1"/>
  <c r="M174" i="1"/>
  <c r="N174" i="1"/>
  <c r="O174" i="1"/>
  <c r="Q174" i="1"/>
  <c r="A175" i="1"/>
  <c r="B175" i="1"/>
  <c r="C175" i="1"/>
  <c r="D175" i="1"/>
  <c r="E175" i="1"/>
  <c r="F175" i="1"/>
  <c r="H175" i="1"/>
  <c r="I175" i="1"/>
  <c r="J175" i="1"/>
  <c r="K175" i="1"/>
  <c r="L175" i="1"/>
  <c r="M175" i="1"/>
  <c r="N175" i="1"/>
  <c r="O175" i="1"/>
  <c r="Q175" i="1"/>
  <c r="A176" i="1"/>
  <c r="B176" i="1"/>
  <c r="C176" i="1"/>
  <c r="D176" i="1"/>
  <c r="E176" i="1"/>
  <c r="F176" i="1"/>
  <c r="H176" i="1"/>
  <c r="I176" i="1"/>
  <c r="J176" i="1"/>
  <c r="K176" i="1"/>
  <c r="L176" i="1"/>
  <c r="M176" i="1"/>
  <c r="N176" i="1"/>
  <c r="O176" i="1"/>
  <c r="Q176" i="1"/>
  <c r="A177" i="1"/>
  <c r="B177" i="1"/>
  <c r="C177" i="1"/>
  <c r="D177" i="1"/>
  <c r="E177" i="1"/>
  <c r="F177" i="1"/>
  <c r="H177" i="1"/>
  <c r="I177" i="1"/>
  <c r="J177" i="1"/>
  <c r="K177" i="1"/>
  <c r="L177" i="1"/>
  <c r="M177" i="1"/>
  <c r="N177" i="1"/>
  <c r="O177" i="1"/>
  <c r="Q177" i="1"/>
  <c r="A178" i="1"/>
  <c r="B178" i="1"/>
  <c r="C178" i="1"/>
  <c r="D178" i="1"/>
  <c r="E178" i="1"/>
  <c r="F178" i="1"/>
  <c r="H178" i="1"/>
  <c r="I178" i="1"/>
  <c r="J178" i="1"/>
  <c r="K178" i="1"/>
  <c r="L178" i="1"/>
  <c r="M178" i="1"/>
  <c r="N178" i="1"/>
  <c r="O178" i="1"/>
  <c r="Q178" i="1"/>
  <c r="A179" i="1"/>
  <c r="B179" i="1"/>
  <c r="C179" i="1"/>
  <c r="D179" i="1"/>
  <c r="E179" i="1"/>
  <c r="F179" i="1"/>
  <c r="H179" i="1"/>
  <c r="I179" i="1"/>
  <c r="J179" i="1"/>
  <c r="K179" i="1"/>
  <c r="L179" i="1"/>
  <c r="M179" i="1"/>
  <c r="N179" i="1"/>
  <c r="O179" i="1"/>
  <c r="Q179" i="1"/>
  <c r="A180" i="1"/>
  <c r="B180" i="1"/>
  <c r="C180" i="1"/>
  <c r="D180" i="1"/>
  <c r="E180" i="1"/>
  <c r="F180" i="1"/>
  <c r="H180" i="1"/>
  <c r="I180" i="1"/>
  <c r="J180" i="1"/>
  <c r="K180" i="1"/>
  <c r="L180" i="1"/>
  <c r="M180" i="1"/>
  <c r="N180" i="1"/>
  <c r="O180" i="1"/>
  <c r="Q180" i="1"/>
  <c r="A181" i="1"/>
  <c r="B181" i="1"/>
  <c r="C181" i="1"/>
  <c r="D181" i="1"/>
  <c r="E181" i="1"/>
  <c r="F181" i="1"/>
  <c r="H181" i="1"/>
  <c r="I181" i="1"/>
  <c r="J181" i="1"/>
  <c r="K181" i="1"/>
  <c r="L181" i="1"/>
  <c r="M181" i="1"/>
  <c r="N181" i="1"/>
  <c r="O181" i="1"/>
  <c r="Q181" i="1"/>
  <c r="A182" i="1"/>
  <c r="B182" i="1"/>
  <c r="C182" i="1"/>
  <c r="D182" i="1"/>
  <c r="E182" i="1"/>
  <c r="F182" i="1"/>
  <c r="H182" i="1"/>
  <c r="I182" i="1"/>
  <c r="J182" i="1"/>
  <c r="K182" i="1"/>
  <c r="L182" i="1"/>
  <c r="M182" i="1"/>
  <c r="N182" i="1"/>
  <c r="O182" i="1"/>
  <c r="Q182" i="1"/>
  <c r="A183" i="1"/>
  <c r="B183" i="1"/>
  <c r="C183" i="1"/>
  <c r="D183" i="1"/>
  <c r="E183" i="1"/>
  <c r="F183" i="1"/>
  <c r="H183" i="1"/>
  <c r="I183" i="1"/>
  <c r="J183" i="1"/>
  <c r="K183" i="1"/>
  <c r="L183" i="1"/>
  <c r="M183" i="1"/>
  <c r="N183" i="1"/>
  <c r="O183" i="1"/>
  <c r="Q183" i="1"/>
  <c r="A184" i="1"/>
  <c r="B184" i="1"/>
  <c r="C184" i="1"/>
  <c r="D184" i="1"/>
  <c r="E184" i="1"/>
  <c r="F184" i="1"/>
  <c r="H184" i="1"/>
  <c r="I184" i="1"/>
  <c r="J184" i="1"/>
  <c r="K184" i="1"/>
  <c r="L184" i="1"/>
  <c r="M184" i="1"/>
  <c r="N184" i="1"/>
  <c r="O184" i="1"/>
  <c r="Q184" i="1"/>
  <c r="A185" i="1"/>
  <c r="B185" i="1"/>
  <c r="C185" i="1"/>
  <c r="D185" i="1"/>
  <c r="E185" i="1"/>
  <c r="F185" i="1"/>
  <c r="H185" i="1"/>
  <c r="I185" i="1"/>
  <c r="J185" i="1"/>
  <c r="K185" i="1"/>
  <c r="L185" i="1"/>
  <c r="M185" i="1"/>
  <c r="N185" i="1"/>
  <c r="O185" i="1"/>
  <c r="Q185" i="1"/>
  <c r="A186" i="1"/>
  <c r="B186" i="1"/>
  <c r="C186" i="1"/>
  <c r="D186" i="1"/>
  <c r="E186" i="1"/>
  <c r="F186" i="1"/>
  <c r="H186" i="1"/>
  <c r="I186" i="1"/>
  <c r="J186" i="1"/>
  <c r="K186" i="1"/>
  <c r="L186" i="1"/>
  <c r="M186" i="1"/>
  <c r="N186" i="1"/>
  <c r="O186" i="1"/>
  <c r="Q186" i="1"/>
  <c r="A187" i="1"/>
  <c r="B187" i="1"/>
  <c r="C187" i="1"/>
  <c r="D187" i="1"/>
  <c r="E187" i="1"/>
  <c r="F187" i="1"/>
  <c r="H187" i="1"/>
  <c r="I187" i="1"/>
  <c r="J187" i="1"/>
  <c r="K187" i="1"/>
  <c r="L187" i="1"/>
  <c r="M187" i="1"/>
  <c r="N187" i="1"/>
  <c r="O187" i="1"/>
  <c r="Q187" i="1"/>
  <c r="A188" i="1"/>
  <c r="B188" i="1"/>
  <c r="C188" i="1"/>
  <c r="D188" i="1"/>
  <c r="E188" i="1"/>
  <c r="F188" i="1"/>
  <c r="H188" i="1"/>
  <c r="I188" i="1"/>
  <c r="J188" i="1"/>
  <c r="K188" i="1"/>
  <c r="L188" i="1"/>
  <c r="M188" i="1"/>
  <c r="N188" i="1"/>
  <c r="O188" i="1"/>
  <c r="Q188" i="1"/>
  <c r="A189" i="1"/>
  <c r="B189" i="1"/>
  <c r="C189" i="1"/>
  <c r="D189" i="1"/>
  <c r="E189" i="1"/>
  <c r="F189" i="1"/>
  <c r="H189" i="1"/>
  <c r="I189" i="1"/>
  <c r="J189" i="1"/>
  <c r="K189" i="1"/>
  <c r="L189" i="1"/>
  <c r="M189" i="1"/>
  <c r="N189" i="1"/>
  <c r="O189" i="1"/>
  <c r="Q189" i="1"/>
  <c r="A190" i="1"/>
  <c r="B190" i="1"/>
  <c r="C190" i="1"/>
  <c r="D190" i="1"/>
  <c r="E190" i="1"/>
  <c r="F190" i="1"/>
  <c r="H190" i="1"/>
  <c r="I190" i="1"/>
  <c r="J190" i="1"/>
  <c r="K190" i="1"/>
  <c r="L190" i="1"/>
  <c r="M190" i="1"/>
  <c r="N190" i="1"/>
  <c r="O190" i="1"/>
  <c r="Q190" i="1"/>
  <c r="A191" i="1"/>
  <c r="B191" i="1"/>
  <c r="C191" i="1"/>
  <c r="D191" i="1"/>
  <c r="E191" i="1"/>
  <c r="F191" i="1"/>
  <c r="H191" i="1"/>
  <c r="I191" i="1"/>
  <c r="J191" i="1"/>
  <c r="K191" i="1"/>
  <c r="L191" i="1"/>
  <c r="M191" i="1"/>
  <c r="N191" i="1"/>
  <c r="O191" i="1"/>
  <c r="Q191" i="1"/>
  <c r="A192" i="1"/>
  <c r="B192" i="1"/>
  <c r="C192" i="1"/>
  <c r="D192" i="1"/>
  <c r="E192" i="1"/>
  <c r="F192" i="1"/>
  <c r="H192" i="1"/>
  <c r="I192" i="1"/>
  <c r="J192" i="1"/>
  <c r="K192" i="1"/>
  <c r="L192" i="1"/>
  <c r="M192" i="1"/>
  <c r="N192" i="1"/>
  <c r="O192" i="1"/>
  <c r="Q192" i="1"/>
  <c r="A193" i="1"/>
  <c r="B193" i="1"/>
  <c r="C193" i="1"/>
  <c r="D193" i="1"/>
  <c r="E193" i="1"/>
  <c r="F193" i="1"/>
  <c r="H193" i="1"/>
  <c r="I193" i="1"/>
  <c r="J193" i="1"/>
  <c r="K193" i="1"/>
  <c r="L193" i="1"/>
  <c r="M193" i="1"/>
  <c r="N193" i="1"/>
  <c r="O193" i="1"/>
  <c r="Q193" i="1"/>
  <c r="A194" i="1"/>
  <c r="B194" i="1"/>
  <c r="C194" i="1"/>
  <c r="D194" i="1"/>
  <c r="E194" i="1"/>
  <c r="F194" i="1"/>
  <c r="H194" i="1"/>
  <c r="I194" i="1"/>
  <c r="J194" i="1"/>
  <c r="K194" i="1"/>
  <c r="L194" i="1"/>
  <c r="M194" i="1"/>
  <c r="N194" i="1"/>
  <c r="O194" i="1"/>
  <c r="Q194" i="1"/>
  <c r="A195" i="1"/>
  <c r="B195" i="1"/>
  <c r="C195" i="1"/>
  <c r="D195" i="1"/>
  <c r="E195" i="1"/>
  <c r="F195" i="1"/>
  <c r="H195" i="1"/>
  <c r="I195" i="1"/>
  <c r="J195" i="1"/>
  <c r="K195" i="1"/>
  <c r="L195" i="1"/>
  <c r="M195" i="1"/>
  <c r="N195" i="1"/>
  <c r="O195" i="1"/>
  <c r="Q195" i="1"/>
  <c r="A196" i="1"/>
  <c r="B196" i="1"/>
  <c r="C196" i="1"/>
  <c r="D196" i="1"/>
  <c r="E196" i="1"/>
  <c r="F196" i="1"/>
  <c r="H196" i="1"/>
  <c r="I196" i="1"/>
  <c r="J196" i="1"/>
  <c r="K196" i="1"/>
  <c r="L196" i="1"/>
  <c r="M196" i="1"/>
  <c r="N196" i="1"/>
  <c r="O196" i="1"/>
  <c r="Q196" i="1"/>
  <c r="A197" i="1"/>
  <c r="B197" i="1"/>
  <c r="C197" i="1"/>
  <c r="D197" i="1"/>
  <c r="E197" i="1"/>
  <c r="F197" i="1"/>
  <c r="H197" i="1"/>
  <c r="I197" i="1"/>
  <c r="J197" i="1"/>
  <c r="K197" i="1"/>
  <c r="L197" i="1"/>
  <c r="M197" i="1"/>
  <c r="N197" i="1"/>
  <c r="O197" i="1"/>
  <c r="Q197" i="1"/>
  <c r="A198" i="1"/>
  <c r="B198" i="1"/>
  <c r="C198" i="1"/>
  <c r="D198" i="1"/>
  <c r="E198" i="1"/>
  <c r="F198" i="1"/>
  <c r="H198" i="1"/>
  <c r="I198" i="1"/>
  <c r="J198" i="1"/>
  <c r="K198" i="1"/>
  <c r="L198" i="1"/>
  <c r="M198" i="1"/>
  <c r="N198" i="1"/>
  <c r="O198" i="1"/>
  <c r="Q198" i="1"/>
  <c r="A199" i="1"/>
  <c r="B199" i="1"/>
  <c r="C199" i="1"/>
  <c r="D199" i="1"/>
  <c r="E199" i="1"/>
  <c r="F199" i="1"/>
  <c r="H199" i="1"/>
  <c r="I199" i="1"/>
  <c r="J199" i="1"/>
  <c r="K199" i="1"/>
  <c r="L199" i="1"/>
  <c r="M199" i="1"/>
  <c r="N199" i="1"/>
  <c r="O199" i="1"/>
  <c r="Q199" i="1"/>
  <c r="A200" i="1"/>
  <c r="B200" i="1"/>
  <c r="C200" i="1"/>
  <c r="D200" i="1"/>
  <c r="E200" i="1"/>
  <c r="F200" i="1"/>
  <c r="H200" i="1"/>
  <c r="I200" i="1"/>
  <c r="J200" i="1"/>
  <c r="K200" i="1"/>
  <c r="L200" i="1"/>
  <c r="M200" i="1"/>
  <c r="N200" i="1"/>
  <c r="O200" i="1"/>
  <c r="Q200" i="1"/>
  <c r="A201" i="1"/>
  <c r="B201" i="1"/>
  <c r="C201" i="1"/>
  <c r="D201" i="1"/>
  <c r="E201" i="1"/>
  <c r="F201" i="1"/>
  <c r="H201" i="1"/>
  <c r="I201" i="1"/>
  <c r="J201" i="1"/>
  <c r="K201" i="1"/>
  <c r="L201" i="1"/>
  <c r="M201" i="1"/>
  <c r="N201" i="1"/>
  <c r="O201" i="1"/>
  <c r="Q201" i="1"/>
  <c r="A202" i="1"/>
  <c r="B202" i="1"/>
  <c r="C202" i="1"/>
  <c r="D202" i="1"/>
  <c r="E202" i="1"/>
  <c r="F202" i="1"/>
  <c r="H202" i="1"/>
  <c r="I202" i="1"/>
  <c r="J202" i="1"/>
  <c r="K202" i="1"/>
  <c r="L202" i="1"/>
  <c r="M202" i="1"/>
  <c r="N202" i="1"/>
  <c r="O202" i="1"/>
  <c r="Q202" i="1"/>
  <c r="A203" i="1"/>
  <c r="B203" i="1"/>
  <c r="C203" i="1"/>
  <c r="D203" i="1"/>
  <c r="E203" i="1"/>
  <c r="F203" i="1"/>
  <c r="H203" i="1"/>
  <c r="I203" i="1"/>
  <c r="J203" i="1"/>
  <c r="K203" i="1"/>
  <c r="L203" i="1"/>
  <c r="M203" i="1"/>
  <c r="N203" i="1"/>
  <c r="O203" i="1"/>
  <c r="Q203" i="1"/>
  <c r="A204" i="1"/>
  <c r="B204" i="1"/>
  <c r="C204" i="1"/>
  <c r="D204" i="1"/>
  <c r="E204" i="1"/>
  <c r="F204" i="1"/>
  <c r="H204" i="1"/>
  <c r="I204" i="1"/>
  <c r="J204" i="1"/>
  <c r="K204" i="1"/>
  <c r="L204" i="1"/>
  <c r="M204" i="1"/>
  <c r="N204" i="1"/>
  <c r="O204" i="1"/>
  <c r="Q204" i="1"/>
  <c r="A205" i="1"/>
  <c r="B205" i="1"/>
  <c r="C205" i="1"/>
  <c r="D205" i="1"/>
  <c r="E205" i="1"/>
  <c r="F205" i="1"/>
  <c r="H205" i="1"/>
  <c r="I205" i="1"/>
  <c r="J205" i="1"/>
  <c r="K205" i="1"/>
  <c r="L205" i="1"/>
  <c r="M205" i="1"/>
  <c r="N205" i="1"/>
  <c r="O205" i="1"/>
  <c r="Q205" i="1"/>
  <c r="A206" i="1"/>
  <c r="B206" i="1"/>
  <c r="C206" i="1"/>
  <c r="D206" i="1"/>
  <c r="E206" i="1"/>
  <c r="F206" i="1"/>
  <c r="H206" i="1"/>
  <c r="I206" i="1"/>
  <c r="J206" i="1"/>
  <c r="K206" i="1"/>
  <c r="L206" i="1"/>
  <c r="M206" i="1"/>
  <c r="N206" i="1"/>
  <c r="O206" i="1"/>
  <c r="Q206" i="1"/>
  <c r="A207" i="1"/>
  <c r="B207" i="1"/>
  <c r="C207" i="1"/>
  <c r="D207" i="1"/>
  <c r="E207" i="1"/>
  <c r="F207" i="1"/>
  <c r="H207" i="1"/>
  <c r="I207" i="1"/>
  <c r="J207" i="1"/>
  <c r="K207" i="1"/>
  <c r="L207" i="1"/>
  <c r="M207" i="1"/>
  <c r="N207" i="1"/>
  <c r="O207" i="1"/>
  <c r="Q207" i="1"/>
  <c r="A208" i="1"/>
  <c r="B208" i="1"/>
  <c r="C208" i="1"/>
  <c r="D208" i="1"/>
  <c r="E208" i="1"/>
  <c r="F208" i="1"/>
  <c r="H208" i="1"/>
  <c r="I208" i="1"/>
  <c r="J208" i="1"/>
  <c r="K208" i="1"/>
  <c r="L208" i="1"/>
  <c r="M208" i="1"/>
  <c r="N208" i="1"/>
  <c r="O208" i="1"/>
  <c r="Q208" i="1"/>
  <c r="A209" i="1"/>
  <c r="B209" i="1"/>
  <c r="C209" i="1"/>
  <c r="D209" i="1"/>
  <c r="E209" i="1"/>
  <c r="F209" i="1"/>
  <c r="H209" i="1"/>
  <c r="I209" i="1"/>
  <c r="J209" i="1"/>
  <c r="K209" i="1"/>
  <c r="L209" i="1"/>
  <c r="M209" i="1"/>
  <c r="N209" i="1"/>
  <c r="O209" i="1"/>
  <c r="Q209" i="1"/>
  <c r="A210" i="1"/>
  <c r="B210" i="1"/>
  <c r="C210" i="1"/>
  <c r="D210" i="1"/>
  <c r="E210" i="1"/>
  <c r="F210" i="1"/>
  <c r="H210" i="1"/>
  <c r="I210" i="1"/>
  <c r="J210" i="1"/>
  <c r="K210" i="1"/>
  <c r="L210" i="1"/>
  <c r="M210" i="1"/>
  <c r="N210" i="1"/>
  <c r="O210" i="1"/>
  <c r="Q210" i="1"/>
  <c r="A211" i="1"/>
  <c r="B211" i="1"/>
  <c r="C211" i="1"/>
  <c r="D211" i="1"/>
  <c r="E211" i="1"/>
  <c r="F211" i="1"/>
  <c r="H211" i="1"/>
  <c r="I211" i="1"/>
  <c r="J211" i="1"/>
  <c r="K211" i="1"/>
  <c r="L211" i="1"/>
  <c r="M211" i="1"/>
  <c r="N211" i="1"/>
  <c r="O211" i="1"/>
  <c r="Q211" i="1"/>
  <c r="A212" i="1"/>
  <c r="B212" i="1"/>
  <c r="C212" i="1"/>
  <c r="D212" i="1"/>
  <c r="E212" i="1"/>
  <c r="F212" i="1"/>
  <c r="H212" i="1"/>
  <c r="I212" i="1"/>
  <c r="J212" i="1"/>
  <c r="K212" i="1"/>
  <c r="L212" i="1"/>
  <c r="M212" i="1"/>
  <c r="N212" i="1"/>
  <c r="O212" i="1"/>
  <c r="Q212" i="1"/>
  <c r="A213" i="1"/>
  <c r="B213" i="1"/>
  <c r="C213" i="1"/>
  <c r="D213" i="1"/>
  <c r="E213" i="1"/>
  <c r="F213" i="1"/>
  <c r="H213" i="1"/>
  <c r="I213" i="1"/>
  <c r="J213" i="1"/>
  <c r="K213" i="1"/>
  <c r="L213" i="1"/>
  <c r="M213" i="1"/>
  <c r="N213" i="1"/>
  <c r="O213" i="1"/>
  <c r="Q213" i="1"/>
  <c r="A214" i="1"/>
  <c r="B214" i="1"/>
  <c r="C214" i="1"/>
  <c r="D214" i="1"/>
  <c r="E214" i="1"/>
  <c r="F214" i="1"/>
  <c r="H214" i="1"/>
  <c r="I214" i="1"/>
  <c r="J214" i="1"/>
  <c r="K214" i="1"/>
  <c r="L214" i="1"/>
  <c r="M214" i="1"/>
  <c r="N214" i="1"/>
  <c r="O214" i="1"/>
  <c r="Q214" i="1"/>
  <c r="A215" i="1"/>
  <c r="B215" i="1"/>
  <c r="C215" i="1"/>
  <c r="D215" i="1"/>
  <c r="E215" i="1"/>
  <c r="F215" i="1"/>
  <c r="H215" i="1"/>
  <c r="I215" i="1"/>
  <c r="J215" i="1"/>
  <c r="K215" i="1"/>
  <c r="L215" i="1"/>
  <c r="M215" i="1"/>
  <c r="N215" i="1"/>
  <c r="O215" i="1"/>
  <c r="Q215" i="1"/>
  <c r="A216" i="1"/>
  <c r="B216" i="1"/>
  <c r="C216" i="1"/>
  <c r="D216" i="1"/>
  <c r="E216" i="1"/>
  <c r="F216" i="1"/>
  <c r="H216" i="1"/>
  <c r="I216" i="1"/>
  <c r="J216" i="1"/>
  <c r="K216" i="1"/>
  <c r="L216" i="1"/>
  <c r="M216" i="1"/>
  <c r="N216" i="1"/>
  <c r="O216" i="1"/>
  <c r="Q216" i="1"/>
  <c r="A217" i="1"/>
  <c r="B217" i="1"/>
  <c r="C217" i="1"/>
  <c r="D217" i="1"/>
  <c r="E217" i="1"/>
  <c r="F217" i="1"/>
  <c r="H217" i="1"/>
  <c r="I217" i="1"/>
  <c r="J217" i="1"/>
  <c r="K217" i="1"/>
  <c r="L217" i="1"/>
  <c r="M217" i="1"/>
  <c r="N217" i="1"/>
  <c r="O217" i="1"/>
  <c r="Q217" i="1"/>
  <c r="A218" i="1"/>
  <c r="B218" i="1"/>
  <c r="C218" i="1"/>
  <c r="D218" i="1"/>
  <c r="E218" i="1"/>
  <c r="F218" i="1"/>
  <c r="H218" i="1"/>
  <c r="I218" i="1"/>
  <c r="J218" i="1"/>
  <c r="K218" i="1"/>
  <c r="L218" i="1"/>
  <c r="M218" i="1"/>
  <c r="N218" i="1"/>
  <c r="O218" i="1"/>
  <c r="Q218" i="1"/>
  <c r="A219" i="1"/>
  <c r="B219" i="1"/>
  <c r="C219" i="1"/>
  <c r="D219" i="1"/>
  <c r="E219" i="1"/>
  <c r="F219" i="1"/>
  <c r="H219" i="1"/>
  <c r="I219" i="1"/>
  <c r="J219" i="1"/>
  <c r="K219" i="1"/>
  <c r="L219" i="1"/>
  <c r="M219" i="1"/>
  <c r="N219" i="1"/>
  <c r="O219" i="1"/>
  <c r="Q219" i="1"/>
  <c r="A220" i="1"/>
  <c r="B220" i="1"/>
  <c r="C220" i="1"/>
  <c r="D220" i="1"/>
  <c r="E220" i="1"/>
  <c r="F220" i="1"/>
  <c r="H220" i="1"/>
  <c r="I220" i="1"/>
  <c r="J220" i="1"/>
  <c r="K220" i="1"/>
  <c r="L220" i="1"/>
  <c r="M220" i="1"/>
  <c r="N220" i="1"/>
  <c r="O220" i="1"/>
  <c r="Q220" i="1"/>
  <c r="A221" i="1"/>
  <c r="B221" i="1"/>
  <c r="C221" i="1"/>
  <c r="D221" i="1"/>
  <c r="E221" i="1"/>
  <c r="F221" i="1"/>
  <c r="H221" i="1"/>
  <c r="I221" i="1"/>
  <c r="J221" i="1"/>
  <c r="K221" i="1"/>
  <c r="L221" i="1"/>
  <c r="M221" i="1"/>
  <c r="N221" i="1"/>
  <c r="O221" i="1"/>
  <c r="Q221" i="1"/>
  <c r="A222" i="1"/>
  <c r="B222" i="1"/>
  <c r="C222" i="1"/>
  <c r="D222" i="1"/>
  <c r="E222" i="1"/>
  <c r="F222" i="1"/>
  <c r="H222" i="1"/>
  <c r="I222" i="1"/>
  <c r="J222" i="1"/>
  <c r="K222" i="1"/>
  <c r="L222" i="1"/>
  <c r="M222" i="1"/>
  <c r="N222" i="1"/>
  <c r="O222" i="1"/>
  <c r="Q222" i="1"/>
  <c r="A223" i="1"/>
  <c r="B223" i="1"/>
  <c r="C223" i="1"/>
  <c r="D223" i="1"/>
  <c r="E223" i="1"/>
  <c r="F223" i="1"/>
  <c r="H223" i="1"/>
  <c r="I223" i="1"/>
  <c r="J223" i="1"/>
  <c r="K223" i="1"/>
  <c r="L223" i="1"/>
  <c r="M223" i="1"/>
  <c r="N223" i="1"/>
  <c r="O223" i="1"/>
  <c r="Q223" i="1"/>
  <c r="A224" i="1"/>
  <c r="B224" i="1"/>
  <c r="C224" i="1"/>
  <c r="D224" i="1"/>
  <c r="E224" i="1"/>
  <c r="F224" i="1"/>
  <c r="H224" i="1"/>
  <c r="I224" i="1"/>
  <c r="J224" i="1"/>
  <c r="K224" i="1"/>
  <c r="L224" i="1"/>
  <c r="M224" i="1"/>
  <c r="N224" i="1"/>
  <c r="O224" i="1"/>
  <c r="Q224" i="1"/>
  <c r="A225" i="1"/>
  <c r="B225" i="1"/>
  <c r="C225" i="1"/>
  <c r="D225" i="1"/>
  <c r="E225" i="1"/>
  <c r="F225" i="1"/>
  <c r="H225" i="1"/>
  <c r="I225" i="1"/>
  <c r="J225" i="1"/>
  <c r="K225" i="1"/>
  <c r="L225" i="1"/>
  <c r="M225" i="1"/>
  <c r="N225" i="1"/>
  <c r="O225" i="1"/>
  <c r="Q225" i="1"/>
  <c r="A226" i="1"/>
  <c r="B226" i="1"/>
  <c r="C226" i="1"/>
  <c r="D226" i="1"/>
  <c r="E226" i="1"/>
  <c r="F226" i="1"/>
  <c r="H226" i="1"/>
  <c r="I226" i="1"/>
  <c r="J226" i="1"/>
  <c r="K226" i="1"/>
  <c r="L226" i="1"/>
  <c r="M226" i="1"/>
  <c r="N226" i="1"/>
  <c r="O226" i="1"/>
  <c r="Q226" i="1"/>
  <c r="A227" i="1"/>
  <c r="B227" i="1"/>
  <c r="C227" i="1"/>
  <c r="D227" i="1"/>
  <c r="E227" i="1"/>
  <c r="F227" i="1"/>
  <c r="H227" i="1"/>
  <c r="I227" i="1"/>
  <c r="J227" i="1"/>
  <c r="K227" i="1"/>
  <c r="L227" i="1"/>
  <c r="M227" i="1"/>
  <c r="N227" i="1"/>
  <c r="O227" i="1"/>
  <c r="Q227" i="1"/>
  <c r="A228" i="1"/>
  <c r="B228" i="1"/>
  <c r="C228" i="1"/>
  <c r="D228" i="1"/>
  <c r="E228" i="1"/>
  <c r="F228" i="1"/>
  <c r="H228" i="1"/>
  <c r="I228" i="1"/>
  <c r="J228" i="1"/>
  <c r="K228" i="1"/>
  <c r="L228" i="1"/>
  <c r="M228" i="1"/>
  <c r="N228" i="1"/>
  <c r="O228" i="1"/>
  <c r="Q228" i="1"/>
  <c r="A229" i="1"/>
  <c r="B229" i="1"/>
  <c r="C229" i="1"/>
  <c r="D229" i="1"/>
  <c r="E229" i="1"/>
  <c r="F229" i="1"/>
  <c r="H229" i="1"/>
  <c r="I229" i="1"/>
  <c r="J229" i="1"/>
  <c r="K229" i="1"/>
  <c r="L229" i="1"/>
  <c r="M229" i="1"/>
  <c r="N229" i="1"/>
  <c r="O229" i="1"/>
  <c r="Q229" i="1"/>
  <c r="A230" i="1"/>
  <c r="B230" i="1"/>
  <c r="C230" i="1"/>
  <c r="D230" i="1"/>
  <c r="E230" i="1"/>
  <c r="F230" i="1"/>
  <c r="H230" i="1"/>
  <c r="I230" i="1"/>
  <c r="J230" i="1"/>
  <c r="K230" i="1"/>
  <c r="L230" i="1"/>
  <c r="M230" i="1"/>
  <c r="N230" i="1"/>
  <c r="O230" i="1"/>
  <c r="Q230" i="1"/>
  <c r="A231" i="1"/>
  <c r="B231" i="1"/>
  <c r="C231" i="1"/>
  <c r="D231" i="1"/>
  <c r="E231" i="1"/>
  <c r="F231" i="1"/>
  <c r="H231" i="1"/>
  <c r="I231" i="1"/>
  <c r="J231" i="1"/>
  <c r="K231" i="1"/>
  <c r="L231" i="1"/>
  <c r="M231" i="1"/>
  <c r="N231" i="1"/>
  <c r="O231" i="1"/>
  <c r="Q231" i="1"/>
  <c r="A232" i="1"/>
  <c r="B232" i="1"/>
  <c r="C232" i="1"/>
  <c r="D232" i="1"/>
  <c r="E232" i="1"/>
  <c r="F232" i="1"/>
  <c r="H232" i="1"/>
  <c r="I232" i="1"/>
  <c r="J232" i="1"/>
  <c r="K232" i="1"/>
  <c r="L232" i="1"/>
  <c r="M232" i="1"/>
  <c r="N232" i="1"/>
  <c r="O232" i="1"/>
  <c r="Q232" i="1"/>
  <c r="A233" i="1"/>
  <c r="B233" i="1"/>
  <c r="C233" i="1"/>
  <c r="D233" i="1"/>
  <c r="E233" i="1"/>
  <c r="F233" i="1"/>
  <c r="H233" i="1"/>
  <c r="I233" i="1"/>
  <c r="J233" i="1"/>
  <c r="K233" i="1"/>
  <c r="L233" i="1"/>
  <c r="M233" i="1"/>
  <c r="N233" i="1"/>
  <c r="O233" i="1"/>
  <c r="Q233" i="1"/>
  <c r="A234" i="1"/>
  <c r="B234" i="1"/>
  <c r="C234" i="1"/>
  <c r="D234" i="1"/>
  <c r="E234" i="1"/>
  <c r="F234" i="1"/>
  <c r="H234" i="1"/>
  <c r="I234" i="1"/>
  <c r="J234" i="1"/>
  <c r="K234" i="1"/>
  <c r="L234" i="1"/>
  <c r="M234" i="1"/>
  <c r="N234" i="1"/>
  <c r="O234" i="1"/>
  <c r="Q234" i="1"/>
  <c r="A235" i="1"/>
  <c r="B235" i="1"/>
  <c r="C235" i="1"/>
  <c r="D235" i="1"/>
  <c r="E235" i="1"/>
  <c r="F235" i="1"/>
  <c r="H235" i="1"/>
  <c r="I235" i="1"/>
  <c r="J235" i="1"/>
  <c r="K235" i="1"/>
  <c r="L235" i="1"/>
  <c r="M235" i="1"/>
  <c r="N235" i="1"/>
  <c r="O235" i="1"/>
  <c r="Q235" i="1"/>
  <c r="A236" i="1"/>
  <c r="B236" i="1"/>
  <c r="C236" i="1"/>
  <c r="D236" i="1"/>
  <c r="E236" i="1"/>
  <c r="F236" i="1"/>
  <c r="H236" i="1"/>
  <c r="I236" i="1"/>
  <c r="J236" i="1"/>
  <c r="K236" i="1"/>
  <c r="L236" i="1"/>
  <c r="M236" i="1"/>
  <c r="N236" i="1"/>
  <c r="O236" i="1"/>
  <c r="Q236" i="1"/>
  <c r="A237" i="1"/>
  <c r="B237" i="1"/>
  <c r="C237" i="1"/>
  <c r="D237" i="1"/>
  <c r="E237" i="1"/>
  <c r="F237" i="1"/>
  <c r="H237" i="1"/>
  <c r="I237" i="1"/>
  <c r="J237" i="1"/>
  <c r="K237" i="1"/>
  <c r="L237" i="1"/>
  <c r="M237" i="1"/>
  <c r="N237" i="1"/>
  <c r="O237" i="1"/>
  <c r="Q237" i="1"/>
  <c r="A238" i="1"/>
  <c r="B238" i="1"/>
  <c r="C238" i="1"/>
  <c r="D238" i="1"/>
  <c r="E238" i="1"/>
  <c r="F238" i="1"/>
  <c r="H238" i="1"/>
  <c r="I238" i="1"/>
  <c r="J238" i="1"/>
  <c r="K238" i="1"/>
  <c r="L238" i="1"/>
  <c r="M238" i="1"/>
  <c r="N238" i="1"/>
  <c r="O238" i="1"/>
  <c r="Q238" i="1"/>
  <c r="A239" i="1"/>
  <c r="B239" i="1"/>
  <c r="C239" i="1"/>
  <c r="D239" i="1"/>
  <c r="E239" i="1"/>
  <c r="F239" i="1"/>
  <c r="H239" i="1"/>
  <c r="I239" i="1"/>
  <c r="J239" i="1"/>
  <c r="K239" i="1"/>
  <c r="L239" i="1"/>
  <c r="M239" i="1"/>
  <c r="N239" i="1"/>
  <c r="O239" i="1"/>
  <c r="Q239" i="1"/>
  <c r="A240" i="1"/>
  <c r="B240" i="1"/>
  <c r="C240" i="1"/>
  <c r="D240" i="1"/>
  <c r="E240" i="1"/>
  <c r="F240" i="1"/>
  <c r="H240" i="1"/>
  <c r="I240" i="1"/>
  <c r="J240" i="1"/>
  <c r="K240" i="1"/>
  <c r="L240" i="1"/>
  <c r="M240" i="1"/>
  <c r="N240" i="1"/>
  <c r="O240" i="1"/>
  <c r="Q240" i="1"/>
  <c r="A241" i="1"/>
  <c r="B241" i="1"/>
  <c r="C241" i="1"/>
  <c r="D241" i="1"/>
  <c r="E241" i="1"/>
  <c r="F241" i="1"/>
  <c r="H241" i="1"/>
  <c r="I241" i="1"/>
  <c r="J241" i="1"/>
  <c r="K241" i="1"/>
  <c r="L241" i="1"/>
  <c r="M241" i="1"/>
  <c r="N241" i="1"/>
  <c r="O241" i="1"/>
  <c r="Q241" i="1"/>
  <c r="A242" i="1"/>
  <c r="B242" i="1"/>
  <c r="C242" i="1"/>
  <c r="D242" i="1"/>
  <c r="E242" i="1"/>
  <c r="F242" i="1"/>
  <c r="H242" i="1"/>
  <c r="I242" i="1"/>
  <c r="J242" i="1"/>
  <c r="K242" i="1"/>
  <c r="L242" i="1"/>
  <c r="M242" i="1"/>
  <c r="N242" i="1"/>
  <c r="O242" i="1"/>
  <c r="Q242" i="1"/>
  <c r="A243" i="1"/>
  <c r="B243" i="1"/>
  <c r="C243" i="1"/>
  <c r="D243" i="1"/>
  <c r="E243" i="1"/>
  <c r="F243" i="1"/>
  <c r="H243" i="1"/>
  <c r="I243" i="1"/>
  <c r="J243" i="1"/>
  <c r="K243" i="1"/>
  <c r="L243" i="1"/>
  <c r="M243" i="1"/>
  <c r="N243" i="1"/>
  <c r="O243" i="1"/>
  <c r="Q243" i="1"/>
  <c r="A244" i="1"/>
  <c r="B244" i="1"/>
  <c r="C244" i="1"/>
  <c r="D244" i="1"/>
  <c r="E244" i="1"/>
  <c r="F244" i="1"/>
  <c r="H244" i="1"/>
  <c r="I244" i="1"/>
  <c r="J244" i="1"/>
  <c r="K244" i="1"/>
  <c r="L244" i="1"/>
  <c r="M244" i="1"/>
  <c r="N244" i="1"/>
  <c r="O244" i="1"/>
  <c r="Q244" i="1"/>
  <c r="A245" i="1"/>
  <c r="B245" i="1"/>
  <c r="C245" i="1"/>
  <c r="D245" i="1"/>
  <c r="E245" i="1"/>
  <c r="F245" i="1"/>
  <c r="H245" i="1"/>
  <c r="I245" i="1"/>
  <c r="J245" i="1"/>
  <c r="K245" i="1"/>
  <c r="L245" i="1"/>
  <c r="M245" i="1"/>
  <c r="N245" i="1"/>
  <c r="O245" i="1"/>
  <c r="Q245" i="1"/>
  <c r="A246" i="1"/>
  <c r="B246" i="1"/>
  <c r="C246" i="1"/>
  <c r="D246" i="1"/>
  <c r="E246" i="1"/>
  <c r="F246" i="1"/>
  <c r="H246" i="1"/>
  <c r="I246" i="1"/>
  <c r="J246" i="1"/>
  <c r="K246" i="1"/>
  <c r="L246" i="1"/>
  <c r="M246" i="1"/>
  <c r="N246" i="1"/>
  <c r="O246" i="1"/>
  <c r="Q246" i="1"/>
  <c r="A247" i="1"/>
  <c r="B247" i="1"/>
  <c r="C247" i="1"/>
  <c r="D247" i="1"/>
  <c r="E247" i="1"/>
  <c r="F247" i="1"/>
  <c r="H247" i="1"/>
  <c r="I247" i="1"/>
  <c r="J247" i="1"/>
  <c r="K247" i="1"/>
  <c r="L247" i="1"/>
  <c r="M247" i="1"/>
  <c r="N247" i="1"/>
  <c r="O247" i="1"/>
  <c r="Q247" i="1"/>
  <c r="A248" i="1"/>
  <c r="B248" i="1"/>
  <c r="C248" i="1"/>
  <c r="D248" i="1"/>
  <c r="E248" i="1"/>
  <c r="F248" i="1"/>
  <c r="H248" i="1"/>
  <c r="I248" i="1"/>
  <c r="J248" i="1"/>
  <c r="K248" i="1"/>
  <c r="L248" i="1"/>
  <c r="M248" i="1"/>
  <c r="N248" i="1"/>
  <c r="O248" i="1"/>
  <c r="Q248" i="1"/>
  <c r="A249" i="1"/>
  <c r="B249" i="1"/>
  <c r="C249" i="1"/>
  <c r="D249" i="1"/>
  <c r="E249" i="1"/>
  <c r="F249" i="1"/>
  <c r="H249" i="1"/>
  <c r="I249" i="1"/>
  <c r="J249" i="1"/>
  <c r="K249" i="1"/>
  <c r="L249" i="1"/>
  <c r="M249" i="1"/>
  <c r="N249" i="1"/>
  <c r="O249" i="1"/>
  <c r="Q249" i="1"/>
  <c r="A250" i="1"/>
  <c r="B250" i="1"/>
  <c r="C250" i="1"/>
  <c r="D250" i="1"/>
  <c r="E250" i="1"/>
  <c r="F250" i="1"/>
  <c r="H250" i="1"/>
  <c r="I250" i="1"/>
  <c r="J250" i="1"/>
  <c r="K250" i="1"/>
  <c r="L250" i="1"/>
  <c r="M250" i="1"/>
  <c r="N250" i="1"/>
  <c r="O250" i="1"/>
  <c r="Q250" i="1"/>
  <c r="A251" i="1"/>
  <c r="B251" i="1"/>
  <c r="C251" i="1"/>
  <c r="D251" i="1"/>
  <c r="E251" i="1"/>
  <c r="F251" i="1"/>
  <c r="H251" i="1"/>
  <c r="I251" i="1"/>
  <c r="J251" i="1"/>
  <c r="K251" i="1"/>
  <c r="L251" i="1"/>
  <c r="M251" i="1"/>
  <c r="N251" i="1"/>
  <c r="O251" i="1"/>
  <c r="Q251" i="1"/>
  <c r="A252" i="1"/>
  <c r="B252" i="1"/>
  <c r="C252" i="1"/>
  <c r="D252" i="1"/>
  <c r="E252" i="1"/>
  <c r="F252" i="1"/>
  <c r="H252" i="1"/>
  <c r="I252" i="1"/>
  <c r="J252" i="1"/>
  <c r="K252" i="1"/>
  <c r="L252" i="1"/>
  <c r="M252" i="1"/>
  <c r="N252" i="1"/>
  <c r="O252" i="1"/>
  <c r="Q252" i="1"/>
  <c r="A253" i="1"/>
  <c r="B253" i="1"/>
  <c r="C253" i="1"/>
  <c r="D253" i="1"/>
  <c r="E253" i="1"/>
  <c r="F253" i="1"/>
  <c r="H253" i="1"/>
  <c r="I253" i="1"/>
  <c r="J253" i="1"/>
  <c r="K253" i="1"/>
  <c r="L253" i="1"/>
  <c r="M253" i="1"/>
  <c r="N253" i="1"/>
  <c r="O253" i="1"/>
  <c r="Q253" i="1"/>
  <c r="A254" i="1"/>
  <c r="B254" i="1"/>
  <c r="C254" i="1"/>
  <c r="D254" i="1"/>
  <c r="E254" i="1"/>
  <c r="F254" i="1"/>
  <c r="H254" i="1"/>
  <c r="I254" i="1"/>
  <c r="J254" i="1"/>
  <c r="K254" i="1"/>
  <c r="L254" i="1"/>
  <c r="M254" i="1"/>
  <c r="N254" i="1"/>
  <c r="O254" i="1"/>
  <c r="Q254" i="1"/>
  <c r="A255" i="1"/>
  <c r="B255" i="1"/>
  <c r="C255" i="1"/>
  <c r="D255" i="1"/>
  <c r="E255" i="1"/>
  <c r="F255" i="1"/>
  <c r="H255" i="1"/>
  <c r="I255" i="1"/>
  <c r="J255" i="1"/>
  <c r="K255" i="1"/>
  <c r="L255" i="1"/>
  <c r="M255" i="1"/>
  <c r="N255" i="1"/>
  <c r="O255" i="1"/>
  <c r="Q255" i="1"/>
  <c r="A256" i="1"/>
  <c r="B256" i="1"/>
  <c r="C256" i="1"/>
  <c r="D256" i="1"/>
  <c r="E256" i="1"/>
  <c r="F256" i="1"/>
  <c r="H256" i="1"/>
  <c r="I256" i="1"/>
  <c r="J256" i="1"/>
  <c r="K256" i="1"/>
  <c r="L256" i="1"/>
  <c r="M256" i="1"/>
  <c r="N256" i="1"/>
  <c r="O256" i="1"/>
  <c r="Q256" i="1"/>
  <c r="A257" i="1"/>
  <c r="B257" i="1"/>
  <c r="C257" i="1"/>
  <c r="D257" i="1"/>
  <c r="E257" i="1"/>
  <c r="F257" i="1"/>
  <c r="H257" i="1"/>
  <c r="I257" i="1"/>
  <c r="J257" i="1"/>
  <c r="K257" i="1"/>
  <c r="L257" i="1"/>
  <c r="M257" i="1"/>
  <c r="N257" i="1"/>
  <c r="O257" i="1"/>
  <c r="Q257" i="1"/>
  <c r="A258" i="1"/>
  <c r="B258" i="1"/>
  <c r="C258" i="1"/>
  <c r="D258" i="1"/>
  <c r="E258" i="1"/>
  <c r="F258" i="1"/>
  <c r="H258" i="1"/>
  <c r="I258" i="1"/>
  <c r="J258" i="1"/>
  <c r="K258" i="1"/>
  <c r="L258" i="1"/>
  <c r="M258" i="1"/>
  <c r="N258" i="1"/>
  <c r="O258" i="1"/>
  <c r="Q258" i="1"/>
  <c r="A259" i="1"/>
  <c r="B259" i="1"/>
  <c r="C259" i="1"/>
  <c r="D259" i="1"/>
  <c r="E259" i="1"/>
  <c r="F259" i="1"/>
  <c r="H259" i="1"/>
  <c r="I259" i="1"/>
  <c r="J259" i="1"/>
  <c r="K259" i="1"/>
  <c r="L259" i="1"/>
  <c r="M259" i="1"/>
  <c r="N259" i="1"/>
  <c r="O259" i="1"/>
  <c r="Q259" i="1"/>
  <c r="A260" i="1"/>
  <c r="B260" i="1"/>
  <c r="C260" i="1"/>
  <c r="D260" i="1"/>
  <c r="E260" i="1"/>
  <c r="F260" i="1"/>
  <c r="H260" i="1"/>
  <c r="I260" i="1"/>
  <c r="J260" i="1"/>
  <c r="K260" i="1"/>
  <c r="L260" i="1"/>
  <c r="M260" i="1"/>
  <c r="N260" i="1"/>
  <c r="O260" i="1"/>
  <c r="Q260" i="1"/>
  <c r="A261" i="1"/>
  <c r="B261" i="1"/>
  <c r="C261" i="1"/>
  <c r="D261" i="1"/>
  <c r="E261" i="1"/>
  <c r="F261" i="1"/>
  <c r="H261" i="1"/>
  <c r="I261" i="1"/>
  <c r="J261" i="1"/>
  <c r="K261" i="1"/>
  <c r="L261" i="1"/>
  <c r="M261" i="1"/>
  <c r="N261" i="1"/>
  <c r="O261" i="1"/>
  <c r="Q261" i="1"/>
  <c r="A262" i="1"/>
  <c r="B262" i="1"/>
  <c r="C262" i="1"/>
  <c r="D262" i="1"/>
  <c r="E262" i="1"/>
  <c r="F262" i="1"/>
  <c r="H262" i="1"/>
  <c r="I262" i="1"/>
  <c r="J262" i="1"/>
  <c r="K262" i="1"/>
  <c r="L262" i="1"/>
  <c r="M262" i="1"/>
  <c r="N262" i="1"/>
  <c r="O262" i="1"/>
  <c r="Q262" i="1"/>
  <c r="A263" i="1"/>
  <c r="B263" i="1"/>
  <c r="C263" i="1"/>
  <c r="D263" i="1"/>
  <c r="E263" i="1"/>
  <c r="F263" i="1"/>
  <c r="H263" i="1"/>
  <c r="I263" i="1"/>
  <c r="J263" i="1"/>
  <c r="K263" i="1"/>
  <c r="L263" i="1"/>
  <c r="M263" i="1"/>
  <c r="N263" i="1"/>
  <c r="O263" i="1"/>
  <c r="Q263" i="1"/>
  <c r="A264" i="1"/>
  <c r="B264" i="1"/>
  <c r="C264" i="1"/>
  <c r="D264" i="1"/>
  <c r="E264" i="1"/>
  <c r="F264" i="1"/>
  <c r="H264" i="1"/>
  <c r="I264" i="1"/>
  <c r="J264" i="1"/>
  <c r="K264" i="1"/>
  <c r="L264" i="1"/>
  <c r="M264" i="1"/>
  <c r="N264" i="1"/>
  <c r="O264" i="1"/>
  <c r="Q264" i="1"/>
  <c r="A265" i="1"/>
  <c r="B265" i="1"/>
  <c r="C265" i="1"/>
  <c r="D265" i="1"/>
  <c r="E265" i="1"/>
  <c r="F265" i="1"/>
  <c r="H265" i="1"/>
  <c r="I265" i="1"/>
  <c r="J265" i="1"/>
  <c r="K265" i="1"/>
  <c r="L265" i="1"/>
  <c r="M265" i="1"/>
  <c r="N265" i="1"/>
  <c r="O265" i="1"/>
  <c r="Q265" i="1"/>
  <c r="A266" i="1"/>
  <c r="B266" i="1"/>
  <c r="C266" i="1"/>
  <c r="D266" i="1"/>
  <c r="E266" i="1"/>
  <c r="F266" i="1"/>
  <c r="H266" i="1"/>
  <c r="I266" i="1"/>
  <c r="J266" i="1"/>
  <c r="K266" i="1"/>
  <c r="L266" i="1"/>
  <c r="M266" i="1"/>
  <c r="N266" i="1"/>
  <c r="O266" i="1"/>
  <c r="Q266" i="1"/>
  <c r="A267" i="1"/>
  <c r="B267" i="1"/>
  <c r="C267" i="1"/>
  <c r="D267" i="1"/>
  <c r="E267" i="1"/>
  <c r="F267" i="1"/>
  <c r="H267" i="1"/>
  <c r="I267" i="1"/>
  <c r="J267" i="1"/>
  <c r="K267" i="1"/>
  <c r="L267" i="1"/>
  <c r="M267" i="1"/>
  <c r="N267" i="1"/>
  <c r="O267" i="1"/>
  <c r="Q267" i="1"/>
  <c r="A268" i="1"/>
  <c r="B268" i="1"/>
  <c r="C268" i="1"/>
  <c r="D268" i="1"/>
  <c r="E268" i="1"/>
  <c r="F268" i="1"/>
  <c r="H268" i="1"/>
  <c r="I268" i="1"/>
  <c r="J268" i="1"/>
  <c r="K268" i="1"/>
  <c r="L268" i="1"/>
  <c r="M268" i="1"/>
  <c r="N268" i="1"/>
  <c r="O268" i="1"/>
  <c r="Q268" i="1"/>
  <c r="A269" i="1"/>
  <c r="B269" i="1"/>
  <c r="C269" i="1"/>
  <c r="D269" i="1"/>
  <c r="E269" i="1"/>
  <c r="F269" i="1"/>
  <c r="H269" i="1"/>
  <c r="I269" i="1"/>
  <c r="J269" i="1"/>
  <c r="K269" i="1"/>
  <c r="L269" i="1"/>
  <c r="M269" i="1"/>
  <c r="N269" i="1"/>
  <c r="O269" i="1"/>
  <c r="Q269" i="1"/>
  <c r="A270" i="1"/>
  <c r="B270" i="1"/>
  <c r="C270" i="1"/>
  <c r="D270" i="1"/>
  <c r="E270" i="1"/>
  <c r="F270" i="1"/>
  <c r="H270" i="1"/>
  <c r="I270" i="1"/>
  <c r="J270" i="1"/>
  <c r="K270" i="1"/>
  <c r="L270" i="1"/>
  <c r="M270" i="1"/>
  <c r="N270" i="1"/>
  <c r="O270" i="1"/>
  <c r="Q270" i="1"/>
  <c r="A271" i="1"/>
  <c r="B271" i="1"/>
  <c r="C271" i="1"/>
  <c r="D271" i="1"/>
  <c r="E271" i="1"/>
  <c r="F271" i="1"/>
  <c r="H271" i="1"/>
  <c r="I271" i="1"/>
  <c r="J271" i="1"/>
  <c r="K271" i="1"/>
  <c r="L271" i="1"/>
  <c r="M271" i="1"/>
  <c r="N271" i="1"/>
  <c r="O271" i="1"/>
  <c r="Q271" i="1"/>
  <c r="A272" i="1"/>
  <c r="B272" i="1"/>
  <c r="C272" i="1"/>
  <c r="D272" i="1"/>
  <c r="E272" i="1"/>
  <c r="F272" i="1"/>
  <c r="H272" i="1"/>
  <c r="I272" i="1"/>
  <c r="J272" i="1"/>
  <c r="K272" i="1"/>
  <c r="L272" i="1"/>
  <c r="M272" i="1"/>
  <c r="N272" i="1"/>
  <c r="O272" i="1"/>
  <c r="Q272" i="1"/>
  <c r="A273" i="1"/>
  <c r="B273" i="1"/>
  <c r="C273" i="1"/>
  <c r="D273" i="1"/>
  <c r="E273" i="1"/>
  <c r="F273" i="1"/>
  <c r="H273" i="1"/>
  <c r="I273" i="1"/>
  <c r="J273" i="1"/>
  <c r="K273" i="1"/>
  <c r="L273" i="1"/>
  <c r="M273" i="1"/>
  <c r="N273" i="1"/>
  <c r="O273" i="1"/>
  <c r="Q273" i="1"/>
  <c r="A274" i="1"/>
  <c r="B274" i="1"/>
  <c r="C274" i="1"/>
  <c r="D274" i="1"/>
  <c r="E274" i="1"/>
  <c r="F274" i="1"/>
  <c r="H274" i="1"/>
  <c r="I274" i="1"/>
  <c r="J274" i="1"/>
  <c r="K274" i="1"/>
  <c r="L274" i="1"/>
  <c r="M274" i="1"/>
  <c r="N274" i="1"/>
  <c r="O274" i="1"/>
  <c r="Q274" i="1"/>
  <c r="A275" i="1"/>
  <c r="B275" i="1"/>
  <c r="C275" i="1"/>
  <c r="D275" i="1"/>
  <c r="E275" i="1"/>
  <c r="F275" i="1"/>
  <c r="H275" i="1"/>
  <c r="I275" i="1"/>
  <c r="J275" i="1"/>
  <c r="K275" i="1"/>
  <c r="L275" i="1"/>
  <c r="M275" i="1"/>
  <c r="N275" i="1"/>
  <c r="O275" i="1"/>
  <c r="Q275" i="1"/>
  <c r="A276" i="1"/>
  <c r="B276" i="1"/>
  <c r="C276" i="1"/>
  <c r="D276" i="1"/>
  <c r="E276" i="1"/>
  <c r="F276" i="1"/>
  <c r="H276" i="1"/>
  <c r="I276" i="1"/>
  <c r="J276" i="1"/>
  <c r="K276" i="1"/>
  <c r="L276" i="1"/>
  <c r="M276" i="1"/>
  <c r="N276" i="1"/>
  <c r="O276" i="1"/>
  <c r="Q276" i="1"/>
  <c r="A277" i="1"/>
  <c r="B277" i="1"/>
  <c r="C277" i="1"/>
  <c r="D277" i="1"/>
  <c r="E277" i="1"/>
  <c r="F277" i="1"/>
  <c r="H277" i="1"/>
  <c r="I277" i="1"/>
  <c r="J277" i="1"/>
  <c r="K277" i="1"/>
  <c r="L277" i="1"/>
  <c r="M277" i="1"/>
  <c r="N277" i="1"/>
  <c r="O277" i="1"/>
  <c r="Q277" i="1"/>
  <c r="A278" i="1"/>
  <c r="B278" i="1"/>
  <c r="C278" i="1"/>
  <c r="D278" i="1"/>
  <c r="E278" i="1"/>
  <c r="F278" i="1"/>
  <c r="H278" i="1"/>
  <c r="I278" i="1"/>
  <c r="J278" i="1"/>
  <c r="K278" i="1"/>
  <c r="L278" i="1"/>
  <c r="M278" i="1"/>
  <c r="N278" i="1"/>
  <c r="O278" i="1"/>
  <c r="Q278" i="1"/>
  <c r="A279" i="1"/>
  <c r="B279" i="1"/>
  <c r="C279" i="1"/>
  <c r="D279" i="1"/>
  <c r="E279" i="1"/>
  <c r="F279" i="1"/>
  <c r="H279" i="1"/>
  <c r="I279" i="1"/>
  <c r="J279" i="1"/>
  <c r="K279" i="1"/>
  <c r="L279" i="1"/>
  <c r="M279" i="1"/>
  <c r="N279" i="1"/>
  <c r="O279" i="1"/>
  <c r="Q279" i="1"/>
  <c r="A280" i="1"/>
  <c r="B280" i="1"/>
  <c r="C280" i="1"/>
  <c r="D280" i="1"/>
  <c r="E280" i="1"/>
  <c r="F280" i="1"/>
  <c r="H280" i="1"/>
  <c r="I280" i="1"/>
  <c r="J280" i="1"/>
  <c r="K280" i="1"/>
  <c r="L280" i="1"/>
  <c r="M280" i="1"/>
  <c r="N280" i="1"/>
  <c r="O280" i="1"/>
  <c r="Q280" i="1"/>
  <c r="A281" i="1"/>
  <c r="B281" i="1"/>
  <c r="C281" i="1"/>
  <c r="D281" i="1"/>
  <c r="E281" i="1"/>
  <c r="F281" i="1"/>
  <c r="H281" i="1"/>
  <c r="I281" i="1"/>
  <c r="J281" i="1"/>
  <c r="K281" i="1"/>
  <c r="L281" i="1"/>
  <c r="M281" i="1"/>
  <c r="N281" i="1"/>
  <c r="O281" i="1"/>
  <c r="Q281" i="1"/>
  <c r="A282" i="1"/>
  <c r="B282" i="1"/>
  <c r="C282" i="1"/>
  <c r="D282" i="1"/>
  <c r="E282" i="1"/>
  <c r="F282" i="1"/>
  <c r="H282" i="1"/>
  <c r="I282" i="1"/>
  <c r="J282" i="1"/>
  <c r="K282" i="1"/>
  <c r="L282" i="1"/>
  <c r="M282" i="1"/>
  <c r="N282" i="1"/>
  <c r="O282" i="1"/>
  <c r="Q282" i="1"/>
  <c r="A283" i="1"/>
  <c r="B283" i="1"/>
  <c r="C283" i="1"/>
  <c r="D283" i="1"/>
  <c r="E283" i="1"/>
  <c r="F283" i="1"/>
  <c r="H283" i="1"/>
  <c r="I283" i="1"/>
  <c r="J283" i="1"/>
  <c r="K283" i="1"/>
  <c r="L283" i="1"/>
  <c r="M283" i="1"/>
  <c r="N283" i="1"/>
  <c r="O283" i="1"/>
  <c r="Q283" i="1"/>
  <c r="A284" i="1"/>
  <c r="B284" i="1"/>
  <c r="C284" i="1"/>
  <c r="D284" i="1"/>
  <c r="E284" i="1"/>
  <c r="F284" i="1"/>
  <c r="H284" i="1"/>
  <c r="I284" i="1"/>
  <c r="J284" i="1"/>
  <c r="K284" i="1"/>
  <c r="L284" i="1"/>
  <c r="M284" i="1"/>
  <c r="N284" i="1"/>
  <c r="O284" i="1"/>
  <c r="Q284" i="1"/>
  <c r="A285" i="1"/>
  <c r="B285" i="1"/>
  <c r="C285" i="1"/>
  <c r="D285" i="1"/>
  <c r="E285" i="1"/>
  <c r="F285" i="1"/>
  <c r="H285" i="1"/>
  <c r="I285" i="1"/>
  <c r="J285" i="1"/>
  <c r="K285" i="1"/>
  <c r="L285" i="1"/>
  <c r="M285" i="1"/>
  <c r="N285" i="1"/>
  <c r="O285" i="1"/>
  <c r="Q285" i="1"/>
  <c r="A286" i="1"/>
  <c r="B286" i="1"/>
  <c r="C286" i="1"/>
  <c r="D286" i="1"/>
  <c r="E286" i="1"/>
  <c r="F286" i="1"/>
  <c r="H286" i="1"/>
  <c r="I286" i="1"/>
  <c r="J286" i="1"/>
  <c r="K286" i="1"/>
  <c r="L286" i="1"/>
  <c r="M286" i="1"/>
  <c r="N286" i="1"/>
  <c r="O286" i="1"/>
  <c r="Q286" i="1"/>
  <c r="A287" i="1"/>
  <c r="B287" i="1"/>
  <c r="C287" i="1"/>
  <c r="D287" i="1"/>
  <c r="E287" i="1"/>
  <c r="F287" i="1"/>
  <c r="H287" i="1"/>
  <c r="I287" i="1"/>
  <c r="J287" i="1"/>
  <c r="K287" i="1"/>
  <c r="L287" i="1"/>
  <c r="M287" i="1"/>
  <c r="N287" i="1"/>
  <c r="O287" i="1"/>
  <c r="Q287" i="1"/>
  <c r="A288" i="1"/>
  <c r="B288" i="1"/>
  <c r="C288" i="1"/>
  <c r="D288" i="1"/>
  <c r="E288" i="1"/>
  <c r="F288" i="1"/>
  <c r="H288" i="1"/>
  <c r="I288" i="1"/>
  <c r="J288" i="1"/>
  <c r="K288" i="1"/>
  <c r="L288" i="1"/>
  <c r="M288" i="1"/>
  <c r="N288" i="1"/>
  <c r="O288" i="1"/>
  <c r="Q288" i="1"/>
  <c r="A289" i="1"/>
  <c r="B289" i="1"/>
  <c r="C289" i="1"/>
  <c r="D289" i="1"/>
  <c r="E289" i="1"/>
  <c r="F289" i="1"/>
  <c r="H289" i="1"/>
  <c r="I289" i="1"/>
  <c r="J289" i="1"/>
  <c r="K289" i="1"/>
  <c r="L289" i="1"/>
  <c r="M289" i="1"/>
  <c r="N289" i="1"/>
  <c r="O289" i="1"/>
  <c r="Q289" i="1"/>
  <c r="A290" i="1"/>
  <c r="B290" i="1"/>
  <c r="C290" i="1"/>
  <c r="D290" i="1"/>
  <c r="E290" i="1"/>
  <c r="F290" i="1"/>
  <c r="H290" i="1"/>
  <c r="I290" i="1"/>
  <c r="J290" i="1"/>
  <c r="K290" i="1"/>
  <c r="L290" i="1"/>
  <c r="M290" i="1"/>
  <c r="N290" i="1"/>
  <c r="O290" i="1"/>
  <c r="Q290" i="1"/>
  <c r="A291" i="1"/>
  <c r="B291" i="1"/>
  <c r="C291" i="1"/>
  <c r="D291" i="1"/>
  <c r="E291" i="1"/>
  <c r="F291" i="1"/>
  <c r="H291" i="1"/>
  <c r="I291" i="1"/>
  <c r="J291" i="1"/>
  <c r="K291" i="1"/>
  <c r="L291" i="1"/>
  <c r="M291" i="1"/>
  <c r="N291" i="1"/>
  <c r="O291" i="1"/>
  <c r="Q291" i="1"/>
  <c r="A292" i="1"/>
  <c r="B292" i="1"/>
  <c r="C292" i="1"/>
  <c r="D292" i="1"/>
  <c r="E292" i="1"/>
  <c r="F292" i="1"/>
  <c r="H292" i="1"/>
  <c r="I292" i="1"/>
  <c r="J292" i="1"/>
  <c r="K292" i="1"/>
  <c r="L292" i="1"/>
  <c r="M292" i="1"/>
  <c r="N292" i="1"/>
  <c r="O292" i="1"/>
  <c r="Q292" i="1"/>
  <c r="A293" i="1"/>
  <c r="B293" i="1"/>
  <c r="C293" i="1"/>
  <c r="D293" i="1"/>
  <c r="E293" i="1"/>
  <c r="F293" i="1"/>
  <c r="H293" i="1"/>
  <c r="I293" i="1"/>
  <c r="J293" i="1"/>
  <c r="K293" i="1"/>
  <c r="L293" i="1"/>
  <c r="M293" i="1"/>
  <c r="N293" i="1"/>
  <c r="O293" i="1"/>
  <c r="Q293" i="1"/>
  <c r="A294" i="1"/>
  <c r="B294" i="1"/>
  <c r="C294" i="1"/>
  <c r="D294" i="1"/>
  <c r="E294" i="1"/>
  <c r="F294" i="1"/>
  <c r="H294" i="1"/>
  <c r="I294" i="1"/>
  <c r="J294" i="1"/>
  <c r="K294" i="1"/>
  <c r="L294" i="1"/>
  <c r="M294" i="1"/>
  <c r="N294" i="1"/>
  <c r="O294" i="1"/>
  <c r="Q294" i="1"/>
  <c r="A295" i="1"/>
  <c r="B295" i="1"/>
  <c r="C295" i="1"/>
  <c r="D295" i="1"/>
  <c r="E295" i="1"/>
  <c r="F295" i="1"/>
  <c r="H295" i="1"/>
  <c r="I295" i="1"/>
  <c r="J295" i="1"/>
  <c r="K295" i="1"/>
  <c r="L295" i="1"/>
  <c r="M295" i="1"/>
  <c r="N295" i="1"/>
  <c r="O295" i="1"/>
  <c r="Q295" i="1"/>
  <c r="A296" i="1"/>
  <c r="B296" i="1"/>
  <c r="C296" i="1"/>
  <c r="D296" i="1"/>
  <c r="E296" i="1"/>
  <c r="F296" i="1"/>
  <c r="H296" i="1"/>
  <c r="I296" i="1"/>
  <c r="J296" i="1"/>
  <c r="K296" i="1"/>
  <c r="L296" i="1"/>
  <c r="M296" i="1"/>
  <c r="N296" i="1"/>
  <c r="O296" i="1"/>
  <c r="Q296" i="1"/>
  <c r="A297" i="1"/>
  <c r="B297" i="1"/>
  <c r="C297" i="1"/>
  <c r="D297" i="1"/>
  <c r="E297" i="1"/>
  <c r="F297" i="1"/>
  <c r="H297" i="1"/>
  <c r="I297" i="1"/>
  <c r="J297" i="1"/>
  <c r="K297" i="1"/>
  <c r="L297" i="1"/>
  <c r="M297" i="1"/>
  <c r="N297" i="1"/>
  <c r="O297" i="1"/>
  <c r="Q297" i="1"/>
  <c r="A298" i="1"/>
  <c r="B298" i="1"/>
  <c r="C298" i="1"/>
  <c r="D298" i="1"/>
  <c r="E298" i="1"/>
  <c r="F298" i="1"/>
  <c r="H298" i="1"/>
  <c r="I298" i="1"/>
  <c r="J298" i="1"/>
  <c r="K298" i="1"/>
  <c r="L298" i="1"/>
  <c r="M298" i="1"/>
  <c r="N298" i="1"/>
  <c r="O298" i="1"/>
  <c r="Q298" i="1"/>
  <c r="A299" i="1"/>
  <c r="B299" i="1"/>
  <c r="C299" i="1"/>
  <c r="D299" i="1"/>
  <c r="E299" i="1"/>
  <c r="F299" i="1"/>
  <c r="H299" i="1"/>
  <c r="I299" i="1"/>
  <c r="J299" i="1"/>
  <c r="K299" i="1"/>
  <c r="L299" i="1"/>
  <c r="M299" i="1"/>
  <c r="N299" i="1"/>
  <c r="O299" i="1"/>
  <c r="Q299" i="1"/>
  <c r="A300" i="1"/>
  <c r="B300" i="1"/>
  <c r="C300" i="1"/>
  <c r="D300" i="1"/>
  <c r="E300" i="1"/>
  <c r="F300" i="1"/>
  <c r="H300" i="1"/>
  <c r="I300" i="1"/>
  <c r="J300" i="1"/>
  <c r="K300" i="1"/>
  <c r="L300" i="1"/>
  <c r="M300" i="1"/>
  <c r="N300" i="1"/>
  <c r="O300" i="1"/>
  <c r="Q300" i="1"/>
  <c r="A301" i="1"/>
  <c r="B301" i="1"/>
  <c r="C301" i="1"/>
  <c r="D301" i="1"/>
  <c r="E301" i="1"/>
  <c r="F301" i="1"/>
  <c r="H301" i="1"/>
  <c r="I301" i="1"/>
  <c r="J301" i="1"/>
  <c r="K301" i="1"/>
  <c r="L301" i="1"/>
  <c r="M301" i="1"/>
  <c r="N301" i="1"/>
  <c r="O301" i="1"/>
  <c r="Q301" i="1"/>
  <c r="A302" i="1"/>
  <c r="B302" i="1"/>
  <c r="C302" i="1"/>
  <c r="D302" i="1"/>
  <c r="E302" i="1"/>
  <c r="F302" i="1"/>
  <c r="H302" i="1"/>
  <c r="I302" i="1"/>
  <c r="J302" i="1"/>
  <c r="K302" i="1"/>
  <c r="L302" i="1"/>
  <c r="M302" i="1"/>
  <c r="N302" i="1"/>
  <c r="O302" i="1"/>
  <c r="Q302" i="1"/>
  <c r="A303" i="1"/>
  <c r="B303" i="1"/>
  <c r="C303" i="1"/>
  <c r="D303" i="1"/>
  <c r="E303" i="1"/>
  <c r="F303" i="1"/>
  <c r="H303" i="1"/>
  <c r="I303" i="1"/>
  <c r="J303" i="1"/>
  <c r="K303" i="1"/>
  <c r="L303" i="1"/>
  <c r="M303" i="1"/>
  <c r="N303" i="1"/>
  <c r="O303" i="1"/>
  <c r="Q303" i="1"/>
  <c r="A304" i="1"/>
  <c r="B304" i="1"/>
  <c r="C304" i="1"/>
  <c r="D304" i="1"/>
  <c r="E304" i="1"/>
  <c r="F304" i="1"/>
  <c r="H304" i="1"/>
  <c r="I304" i="1"/>
  <c r="J304" i="1"/>
  <c r="K304" i="1"/>
  <c r="L304" i="1"/>
  <c r="M304" i="1"/>
  <c r="N304" i="1"/>
  <c r="O304" i="1"/>
  <c r="Q304" i="1"/>
  <c r="A305" i="1"/>
  <c r="B305" i="1"/>
  <c r="C305" i="1"/>
  <c r="D305" i="1"/>
  <c r="E305" i="1"/>
  <c r="F305" i="1"/>
  <c r="H305" i="1"/>
  <c r="I305" i="1"/>
  <c r="J305" i="1"/>
  <c r="K305" i="1"/>
  <c r="L305" i="1"/>
  <c r="M305" i="1"/>
  <c r="N305" i="1"/>
  <c r="O305" i="1"/>
  <c r="Q305" i="1"/>
  <c r="A306" i="1"/>
  <c r="B306" i="1"/>
  <c r="C306" i="1"/>
  <c r="D306" i="1"/>
  <c r="E306" i="1"/>
  <c r="F306" i="1"/>
  <c r="H306" i="1"/>
  <c r="I306" i="1"/>
  <c r="J306" i="1"/>
  <c r="K306" i="1"/>
  <c r="L306" i="1"/>
  <c r="M306" i="1"/>
  <c r="N306" i="1"/>
  <c r="O306" i="1"/>
  <c r="Q306" i="1"/>
  <c r="A307" i="1"/>
  <c r="B307" i="1"/>
  <c r="C307" i="1"/>
  <c r="D307" i="1"/>
  <c r="E307" i="1"/>
  <c r="F307" i="1"/>
  <c r="H307" i="1"/>
  <c r="I307" i="1"/>
  <c r="J307" i="1"/>
  <c r="K307" i="1"/>
  <c r="L307" i="1"/>
  <c r="M307" i="1"/>
  <c r="N307" i="1"/>
  <c r="O307" i="1"/>
  <c r="Q307" i="1"/>
  <c r="A308" i="1"/>
  <c r="B308" i="1"/>
  <c r="C308" i="1"/>
  <c r="D308" i="1"/>
  <c r="E308" i="1"/>
  <c r="F308" i="1"/>
  <c r="H308" i="1"/>
  <c r="I308" i="1"/>
  <c r="J308" i="1"/>
  <c r="K308" i="1"/>
  <c r="L308" i="1"/>
  <c r="M308" i="1"/>
  <c r="N308" i="1"/>
  <c r="O308" i="1"/>
  <c r="Q308" i="1"/>
  <c r="A309" i="1"/>
  <c r="B309" i="1"/>
  <c r="C309" i="1"/>
  <c r="D309" i="1"/>
  <c r="E309" i="1"/>
  <c r="F309" i="1"/>
  <c r="H309" i="1"/>
  <c r="I309" i="1"/>
  <c r="J309" i="1"/>
  <c r="K309" i="1"/>
  <c r="L309" i="1"/>
  <c r="M309" i="1"/>
  <c r="N309" i="1"/>
  <c r="O309" i="1"/>
  <c r="Q309" i="1"/>
  <c r="A310" i="1"/>
  <c r="B310" i="1"/>
  <c r="C310" i="1"/>
  <c r="D310" i="1"/>
  <c r="E310" i="1"/>
  <c r="F310" i="1"/>
  <c r="H310" i="1"/>
  <c r="I310" i="1"/>
  <c r="J310" i="1"/>
  <c r="K310" i="1"/>
  <c r="L310" i="1"/>
  <c r="M310" i="1"/>
  <c r="N310" i="1"/>
  <c r="O310" i="1"/>
  <c r="Q310" i="1"/>
  <c r="A311" i="1"/>
  <c r="B311" i="1"/>
  <c r="C311" i="1"/>
  <c r="D311" i="1"/>
  <c r="E311" i="1"/>
  <c r="F311" i="1"/>
  <c r="H311" i="1"/>
  <c r="I311" i="1"/>
  <c r="J311" i="1"/>
  <c r="K311" i="1"/>
  <c r="L311" i="1"/>
  <c r="M311" i="1"/>
  <c r="N311" i="1"/>
  <c r="O311" i="1"/>
  <c r="Q311" i="1"/>
  <c r="A312" i="1"/>
  <c r="B312" i="1"/>
  <c r="C312" i="1"/>
  <c r="D312" i="1"/>
  <c r="E312" i="1"/>
  <c r="F312" i="1"/>
  <c r="H312" i="1"/>
  <c r="I312" i="1"/>
  <c r="J312" i="1"/>
  <c r="K312" i="1"/>
  <c r="L312" i="1"/>
  <c r="M312" i="1"/>
  <c r="N312" i="1"/>
  <c r="O312" i="1"/>
  <c r="Q312" i="1"/>
  <c r="A313" i="1"/>
  <c r="B313" i="1"/>
  <c r="C313" i="1"/>
  <c r="D313" i="1"/>
  <c r="E313" i="1"/>
  <c r="F313" i="1"/>
  <c r="H313" i="1"/>
  <c r="I313" i="1"/>
  <c r="J313" i="1"/>
  <c r="K313" i="1"/>
  <c r="L313" i="1"/>
  <c r="M313" i="1"/>
  <c r="N313" i="1"/>
  <c r="O313" i="1"/>
  <c r="Q313" i="1"/>
  <c r="A314" i="1"/>
  <c r="B314" i="1"/>
  <c r="C314" i="1"/>
  <c r="D314" i="1"/>
  <c r="E314" i="1"/>
  <c r="F314" i="1"/>
  <c r="H314" i="1"/>
  <c r="I314" i="1"/>
  <c r="J314" i="1"/>
  <c r="K314" i="1"/>
  <c r="L314" i="1"/>
  <c r="M314" i="1"/>
  <c r="N314" i="1"/>
  <c r="O314" i="1"/>
  <c r="Q314" i="1"/>
  <c r="A315" i="1"/>
  <c r="B315" i="1"/>
  <c r="C315" i="1"/>
  <c r="D315" i="1"/>
  <c r="E315" i="1"/>
  <c r="F315" i="1"/>
  <c r="H315" i="1"/>
  <c r="I315" i="1"/>
  <c r="J315" i="1"/>
  <c r="K315" i="1"/>
  <c r="L315" i="1"/>
  <c r="M315" i="1"/>
  <c r="N315" i="1"/>
  <c r="O315" i="1"/>
  <c r="Q315" i="1"/>
  <c r="A316" i="1"/>
  <c r="B316" i="1"/>
  <c r="C316" i="1"/>
  <c r="D316" i="1"/>
  <c r="E316" i="1"/>
  <c r="F316" i="1"/>
  <c r="H316" i="1"/>
  <c r="I316" i="1"/>
  <c r="J316" i="1"/>
  <c r="K316" i="1"/>
  <c r="L316" i="1"/>
  <c r="M316" i="1"/>
  <c r="N316" i="1"/>
  <c r="O316" i="1"/>
  <c r="Q316" i="1"/>
  <c r="A317" i="1"/>
  <c r="B317" i="1"/>
  <c r="C317" i="1"/>
  <c r="D317" i="1"/>
  <c r="E317" i="1"/>
  <c r="F317" i="1"/>
  <c r="H317" i="1"/>
  <c r="I317" i="1"/>
  <c r="J317" i="1"/>
  <c r="K317" i="1"/>
  <c r="L317" i="1"/>
  <c r="M317" i="1"/>
  <c r="N317" i="1"/>
  <c r="O317" i="1"/>
  <c r="Q317" i="1"/>
  <c r="A318" i="1"/>
  <c r="B318" i="1"/>
  <c r="C318" i="1"/>
  <c r="D318" i="1"/>
  <c r="E318" i="1"/>
  <c r="F318" i="1"/>
  <c r="H318" i="1"/>
  <c r="I318" i="1"/>
  <c r="J318" i="1"/>
  <c r="K318" i="1"/>
  <c r="L318" i="1"/>
  <c r="M318" i="1"/>
  <c r="N318" i="1"/>
  <c r="O318" i="1"/>
  <c r="Q318" i="1"/>
  <c r="A319" i="1"/>
  <c r="B319" i="1"/>
  <c r="C319" i="1"/>
  <c r="D319" i="1"/>
  <c r="E319" i="1"/>
  <c r="F319" i="1"/>
  <c r="H319" i="1"/>
  <c r="I319" i="1"/>
  <c r="J319" i="1"/>
  <c r="K319" i="1"/>
  <c r="L319" i="1"/>
  <c r="M319" i="1"/>
  <c r="N319" i="1"/>
  <c r="O319" i="1"/>
  <c r="Q319" i="1"/>
  <c r="A320" i="1"/>
  <c r="B320" i="1"/>
  <c r="C320" i="1"/>
  <c r="D320" i="1"/>
  <c r="E320" i="1"/>
  <c r="F320" i="1"/>
  <c r="H320" i="1"/>
  <c r="I320" i="1"/>
  <c r="J320" i="1"/>
  <c r="K320" i="1"/>
  <c r="L320" i="1"/>
  <c r="M320" i="1"/>
  <c r="N320" i="1"/>
  <c r="O320" i="1"/>
  <c r="Q320" i="1"/>
  <c r="A321" i="1"/>
  <c r="B321" i="1"/>
  <c r="C321" i="1"/>
  <c r="D321" i="1"/>
  <c r="E321" i="1"/>
  <c r="F321" i="1"/>
  <c r="H321" i="1"/>
  <c r="I321" i="1"/>
  <c r="J321" i="1"/>
  <c r="K321" i="1"/>
  <c r="L321" i="1"/>
  <c r="M321" i="1"/>
  <c r="N321" i="1"/>
  <c r="O321" i="1"/>
  <c r="Q321" i="1"/>
  <c r="A322" i="1"/>
  <c r="B322" i="1"/>
  <c r="C322" i="1"/>
  <c r="D322" i="1"/>
  <c r="E322" i="1"/>
  <c r="F322" i="1"/>
  <c r="H322" i="1"/>
  <c r="I322" i="1"/>
  <c r="J322" i="1"/>
  <c r="K322" i="1"/>
  <c r="L322" i="1"/>
  <c r="M322" i="1"/>
  <c r="N322" i="1"/>
  <c r="O322" i="1"/>
  <c r="Q322" i="1"/>
  <c r="A323" i="1"/>
  <c r="B323" i="1"/>
  <c r="C323" i="1"/>
  <c r="D323" i="1"/>
  <c r="E323" i="1"/>
  <c r="F323" i="1"/>
  <c r="H323" i="1"/>
  <c r="I323" i="1"/>
  <c r="J323" i="1"/>
  <c r="K323" i="1"/>
  <c r="L323" i="1"/>
  <c r="M323" i="1"/>
  <c r="N323" i="1"/>
  <c r="O323" i="1"/>
  <c r="Q323" i="1"/>
  <c r="A324" i="1"/>
  <c r="B324" i="1"/>
  <c r="C324" i="1"/>
  <c r="D324" i="1"/>
  <c r="E324" i="1"/>
  <c r="F324" i="1"/>
  <c r="H324" i="1"/>
  <c r="I324" i="1"/>
  <c r="J324" i="1"/>
  <c r="K324" i="1"/>
  <c r="L324" i="1"/>
  <c r="M324" i="1"/>
  <c r="N324" i="1"/>
  <c r="O324" i="1"/>
  <c r="Q324" i="1"/>
  <c r="A325" i="1"/>
  <c r="B325" i="1"/>
  <c r="C325" i="1"/>
  <c r="D325" i="1"/>
  <c r="E325" i="1"/>
  <c r="F325" i="1"/>
  <c r="H325" i="1"/>
  <c r="I325" i="1"/>
  <c r="J325" i="1"/>
  <c r="K325" i="1"/>
  <c r="L325" i="1"/>
  <c r="M325" i="1"/>
  <c r="N325" i="1"/>
  <c r="O325" i="1"/>
  <c r="Q325" i="1"/>
  <c r="A326" i="1"/>
  <c r="B326" i="1"/>
  <c r="C326" i="1"/>
  <c r="D326" i="1"/>
  <c r="E326" i="1"/>
  <c r="F326" i="1"/>
  <c r="H326" i="1"/>
  <c r="I326" i="1"/>
  <c r="J326" i="1"/>
  <c r="K326" i="1"/>
  <c r="L326" i="1"/>
  <c r="M326" i="1"/>
  <c r="N326" i="1"/>
  <c r="O326" i="1"/>
  <c r="Q326" i="1"/>
  <c r="A327" i="1"/>
  <c r="B327" i="1"/>
  <c r="C327" i="1"/>
  <c r="D327" i="1"/>
  <c r="E327" i="1"/>
  <c r="F327" i="1"/>
  <c r="H327" i="1"/>
  <c r="I327" i="1"/>
  <c r="J327" i="1"/>
  <c r="K327" i="1"/>
  <c r="L327" i="1"/>
  <c r="M327" i="1"/>
  <c r="N327" i="1"/>
  <c r="O327" i="1"/>
  <c r="Q327" i="1"/>
  <c r="A328" i="1"/>
  <c r="B328" i="1"/>
  <c r="C328" i="1"/>
  <c r="D328" i="1"/>
  <c r="E328" i="1"/>
  <c r="F328" i="1"/>
  <c r="H328" i="1"/>
  <c r="I328" i="1"/>
  <c r="J328" i="1"/>
  <c r="K328" i="1"/>
  <c r="L328" i="1"/>
  <c r="M328" i="1"/>
  <c r="N328" i="1"/>
  <c r="O328" i="1"/>
  <c r="Q328" i="1"/>
  <c r="A329" i="1"/>
  <c r="B329" i="1"/>
  <c r="C329" i="1"/>
  <c r="D329" i="1"/>
  <c r="E329" i="1"/>
  <c r="F329" i="1"/>
  <c r="H329" i="1"/>
  <c r="I329" i="1"/>
  <c r="J329" i="1"/>
  <c r="K329" i="1"/>
  <c r="L329" i="1"/>
  <c r="M329" i="1"/>
  <c r="N329" i="1"/>
  <c r="O329" i="1"/>
  <c r="Q329" i="1"/>
  <c r="A330" i="1"/>
  <c r="B330" i="1"/>
  <c r="C330" i="1"/>
  <c r="D330" i="1"/>
  <c r="E330" i="1"/>
  <c r="F330" i="1"/>
  <c r="H330" i="1"/>
  <c r="I330" i="1"/>
  <c r="J330" i="1"/>
  <c r="K330" i="1"/>
  <c r="L330" i="1"/>
  <c r="M330" i="1"/>
  <c r="N330" i="1"/>
  <c r="O330" i="1"/>
  <c r="Q330" i="1"/>
  <c r="A331" i="1"/>
  <c r="B331" i="1"/>
  <c r="C331" i="1"/>
  <c r="D331" i="1"/>
  <c r="E331" i="1"/>
  <c r="F331" i="1"/>
  <c r="H331" i="1"/>
  <c r="I331" i="1"/>
  <c r="J331" i="1"/>
  <c r="K331" i="1"/>
  <c r="L331" i="1"/>
  <c r="M331" i="1"/>
  <c r="N331" i="1"/>
  <c r="O331" i="1"/>
  <c r="Q331" i="1"/>
  <c r="A332" i="1"/>
  <c r="B332" i="1"/>
  <c r="C332" i="1"/>
  <c r="D332" i="1"/>
  <c r="E332" i="1"/>
  <c r="F332" i="1"/>
  <c r="H332" i="1"/>
  <c r="I332" i="1"/>
  <c r="J332" i="1"/>
  <c r="K332" i="1"/>
  <c r="L332" i="1"/>
  <c r="M332" i="1"/>
  <c r="N332" i="1"/>
  <c r="O332" i="1"/>
  <c r="Q332" i="1"/>
  <c r="A333" i="1"/>
  <c r="B333" i="1"/>
  <c r="C333" i="1"/>
  <c r="D333" i="1"/>
  <c r="E333" i="1"/>
  <c r="F333" i="1"/>
  <c r="H333" i="1"/>
  <c r="I333" i="1"/>
  <c r="J333" i="1"/>
  <c r="K333" i="1"/>
  <c r="L333" i="1"/>
  <c r="M333" i="1"/>
  <c r="N333" i="1"/>
  <c r="O333" i="1"/>
  <c r="Q333" i="1"/>
  <c r="A334" i="1"/>
  <c r="B334" i="1"/>
  <c r="C334" i="1"/>
  <c r="D334" i="1"/>
  <c r="E334" i="1"/>
  <c r="F334" i="1"/>
  <c r="H334" i="1"/>
  <c r="I334" i="1"/>
  <c r="J334" i="1"/>
  <c r="K334" i="1"/>
  <c r="L334" i="1"/>
  <c r="M334" i="1"/>
  <c r="N334" i="1"/>
  <c r="O334" i="1"/>
  <c r="Q334" i="1"/>
  <c r="A335" i="1"/>
  <c r="B335" i="1"/>
  <c r="C335" i="1"/>
  <c r="D335" i="1"/>
  <c r="E335" i="1"/>
  <c r="F335" i="1"/>
  <c r="H335" i="1"/>
  <c r="I335" i="1"/>
  <c r="J335" i="1"/>
  <c r="K335" i="1"/>
  <c r="L335" i="1"/>
  <c r="M335" i="1"/>
  <c r="N335" i="1"/>
  <c r="O335" i="1"/>
  <c r="Q335" i="1"/>
  <c r="A336" i="1"/>
  <c r="B336" i="1"/>
  <c r="C336" i="1"/>
  <c r="D336" i="1"/>
  <c r="E336" i="1"/>
  <c r="F336" i="1"/>
  <c r="H336" i="1"/>
  <c r="I336" i="1"/>
  <c r="J336" i="1"/>
  <c r="K336" i="1"/>
  <c r="L336" i="1"/>
  <c r="M336" i="1"/>
  <c r="N336" i="1"/>
  <c r="O336" i="1"/>
  <c r="Q336" i="1"/>
  <c r="A337" i="1"/>
  <c r="B337" i="1"/>
  <c r="C337" i="1"/>
  <c r="D337" i="1"/>
  <c r="E337" i="1"/>
  <c r="F337" i="1"/>
  <c r="H337" i="1"/>
  <c r="I337" i="1"/>
  <c r="J337" i="1"/>
  <c r="K337" i="1"/>
  <c r="L337" i="1"/>
  <c r="M337" i="1"/>
  <c r="N337" i="1"/>
  <c r="O337" i="1"/>
  <c r="Q337" i="1"/>
  <c r="A338" i="1"/>
  <c r="B338" i="1"/>
  <c r="C338" i="1"/>
  <c r="D338" i="1"/>
  <c r="E338" i="1"/>
  <c r="F338" i="1"/>
  <c r="H338" i="1"/>
  <c r="I338" i="1"/>
  <c r="J338" i="1"/>
  <c r="K338" i="1"/>
  <c r="L338" i="1"/>
  <c r="M338" i="1"/>
  <c r="N338" i="1"/>
  <c r="O338" i="1"/>
  <c r="Q338" i="1"/>
  <c r="A339" i="1"/>
  <c r="B339" i="1"/>
  <c r="C339" i="1"/>
  <c r="D339" i="1"/>
  <c r="E339" i="1"/>
  <c r="F339" i="1"/>
  <c r="H339" i="1"/>
  <c r="I339" i="1"/>
  <c r="J339" i="1"/>
  <c r="K339" i="1"/>
  <c r="L339" i="1"/>
  <c r="M339" i="1"/>
  <c r="N339" i="1"/>
  <c r="O339" i="1"/>
  <c r="Q339" i="1"/>
  <c r="A340" i="1"/>
  <c r="B340" i="1"/>
  <c r="C340" i="1"/>
  <c r="D340" i="1"/>
  <c r="E340" i="1"/>
  <c r="F340" i="1"/>
  <c r="H340" i="1"/>
  <c r="I340" i="1"/>
  <c r="J340" i="1"/>
  <c r="K340" i="1"/>
  <c r="L340" i="1"/>
  <c r="M340" i="1"/>
  <c r="N340" i="1"/>
  <c r="O340" i="1"/>
  <c r="Q340" i="1"/>
  <c r="A341" i="1"/>
  <c r="B341" i="1"/>
  <c r="C341" i="1"/>
  <c r="D341" i="1"/>
  <c r="E341" i="1"/>
  <c r="F341" i="1"/>
  <c r="H341" i="1"/>
  <c r="I341" i="1"/>
  <c r="J341" i="1"/>
  <c r="K341" i="1"/>
  <c r="L341" i="1"/>
  <c r="M341" i="1"/>
  <c r="N341" i="1"/>
  <c r="O341" i="1"/>
  <c r="Q341" i="1"/>
  <c r="A342" i="1"/>
  <c r="B342" i="1"/>
  <c r="C342" i="1"/>
  <c r="D342" i="1"/>
  <c r="E342" i="1"/>
  <c r="F342" i="1"/>
  <c r="H342" i="1"/>
  <c r="I342" i="1"/>
  <c r="J342" i="1"/>
  <c r="K342" i="1"/>
  <c r="L342" i="1"/>
  <c r="M342" i="1"/>
  <c r="N342" i="1"/>
  <c r="O342" i="1"/>
  <c r="Q342" i="1"/>
  <c r="A343" i="1"/>
  <c r="B343" i="1"/>
  <c r="C343" i="1"/>
  <c r="D343" i="1"/>
  <c r="E343" i="1"/>
  <c r="F343" i="1"/>
  <c r="H343" i="1"/>
  <c r="I343" i="1"/>
  <c r="J343" i="1"/>
  <c r="K343" i="1"/>
  <c r="L343" i="1"/>
  <c r="M343" i="1"/>
  <c r="N343" i="1"/>
  <c r="O343" i="1"/>
  <c r="Q343" i="1"/>
  <c r="A344" i="1"/>
  <c r="B344" i="1"/>
  <c r="C344" i="1"/>
  <c r="D344" i="1"/>
  <c r="E344" i="1"/>
  <c r="F344" i="1"/>
  <c r="H344" i="1"/>
  <c r="I344" i="1"/>
  <c r="J344" i="1"/>
  <c r="K344" i="1"/>
  <c r="L344" i="1"/>
  <c r="M344" i="1"/>
  <c r="N344" i="1"/>
  <c r="O344" i="1"/>
  <c r="Q344" i="1"/>
  <c r="A345" i="1"/>
  <c r="B345" i="1"/>
  <c r="C345" i="1"/>
  <c r="D345" i="1"/>
  <c r="E345" i="1"/>
  <c r="F345" i="1"/>
  <c r="H345" i="1"/>
  <c r="I345" i="1"/>
  <c r="J345" i="1"/>
  <c r="K345" i="1"/>
  <c r="L345" i="1"/>
  <c r="M345" i="1"/>
  <c r="N345" i="1"/>
  <c r="O345" i="1"/>
  <c r="Q345" i="1"/>
  <c r="A346" i="1"/>
  <c r="B346" i="1"/>
  <c r="C346" i="1"/>
  <c r="D346" i="1"/>
  <c r="E346" i="1"/>
  <c r="F346" i="1"/>
  <c r="H346" i="1"/>
  <c r="I346" i="1"/>
  <c r="J346" i="1"/>
  <c r="K346" i="1"/>
  <c r="L346" i="1"/>
  <c r="M346" i="1"/>
  <c r="N346" i="1"/>
  <c r="O346" i="1"/>
  <c r="Q346" i="1"/>
  <c r="A347" i="1"/>
  <c r="B347" i="1"/>
  <c r="C347" i="1"/>
  <c r="D347" i="1"/>
  <c r="E347" i="1"/>
  <c r="F347" i="1"/>
  <c r="H347" i="1"/>
  <c r="I347" i="1"/>
  <c r="J347" i="1"/>
  <c r="K347" i="1"/>
  <c r="L347" i="1"/>
  <c r="M347" i="1"/>
  <c r="N347" i="1"/>
  <c r="O347" i="1"/>
  <c r="Q347" i="1"/>
  <c r="A348" i="1"/>
  <c r="B348" i="1"/>
  <c r="C348" i="1"/>
  <c r="D348" i="1"/>
  <c r="E348" i="1"/>
  <c r="F348" i="1"/>
  <c r="H348" i="1"/>
  <c r="I348" i="1"/>
  <c r="J348" i="1"/>
  <c r="K348" i="1"/>
  <c r="L348" i="1"/>
  <c r="M348" i="1"/>
  <c r="N348" i="1"/>
  <c r="O348" i="1"/>
  <c r="Q348" i="1"/>
  <c r="A349" i="1"/>
  <c r="B349" i="1"/>
  <c r="C349" i="1"/>
  <c r="D349" i="1"/>
  <c r="E349" i="1"/>
  <c r="F349" i="1"/>
  <c r="H349" i="1"/>
  <c r="I349" i="1"/>
  <c r="J349" i="1"/>
  <c r="K349" i="1"/>
  <c r="L349" i="1"/>
  <c r="M349" i="1"/>
  <c r="N349" i="1"/>
  <c r="O349" i="1"/>
  <c r="Q349" i="1"/>
  <c r="A350" i="1"/>
  <c r="B350" i="1"/>
  <c r="C350" i="1"/>
  <c r="D350" i="1"/>
  <c r="E350" i="1"/>
  <c r="F350" i="1"/>
  <c r="H350" i="1"/>
  <c r="I350" i="1"/>
  <c r="J350" i="1"/>
  <c r="K350" i="1"/>
  <c r="L350" i="1"/>
  <c r="M350" i="1"/>
  <c r="N350" i="1"/>
  <c r="O350" i="1"/>
  <c r="Q350" i="1"/>
  <c r="A351" i="1"/>
  <c r="B351" i="1"/>
  <c r="C351" i="1"/>
  <c r="D351" i="1"/>
  <c r="E351" i="1"/>
  <c r="F351" i="1"/>
  <c r="H351" i="1"/>
  <c r="I351" i="1"/>
  <c r="J351" i="1"/>
  <c r="K351" i="1"/>
  <c r="L351" i="1"/>
  <c r="M351" i="1"/>
  <c r="N351" i="1"/>
  <c r="O351" i="1"/>
  <c r="Q351" i="1"/>
  <c r="A352" i="1"/>
  <c r="B352" i="1"/>
  <c r="C352" i="1"/>
  <c r="D352" i="1"/>
  <c r="E352" i="1"/>
  <c r="F352" i="1"/>
  <c r="H352" i="1"/>
  <c r="I352" i="1"/>
  <c r="J352" i="1"/>
  <c r="K352" i="1"/>
  <c r="L352" i="1"/>
  <c r="M352" i="1"/>
  <c r="N352" i="1"/>
  <c r="O352" i="1"/>
  <c r="Q352" i="1"/>
  <c r="A353" i="1"/>
  <c r="B353" i="1"/>
  <c r="C353" i="1"/>
  <c r="D353" i="1"/>
  <c r="E353" i="1"/>
  <c r="F353" i="1"/>
  <c r="H353" i="1"/>
  <c r="I353" i="1"/>
  <c r="J353" i="1"/>
  <c r="K353" i="1"/>
  <c r="L353" i="1"/>
  <c r="M353" i="1"/>
  <c r="N353" i="1"/>
  <c r="O353" i="1"/>
  <c r="Q353" i="1"/>
  <c r="A354" i="1"/>
  <c r="B354" i="1"/>
  <c r="C354" i="1"/>
  <c r="D354" i="1"/>
  <c r="E354" i="1"/>
  <c r="F354" i="1"/>
  <c r="H354" i="1"/>
  <c r="I354" i="1"/>
  <c r="J354" i="1"/>
  <c r="K354" i="1"/>
  <c r="L354" i="1"/>
  <c r="M354" i="1"/>
  <c r="N354" i="1"/>
  <c r="O354" i="1"/>
  <c r="Q354" i="1"/>
  <c r="A355" i="1"/>
  <c r="B355" i="1"/>
  <c r="C355" i="1"/>
  <c r="D355" i="1"/>
  <c r="E355" i="1"/>
  <c r="F355" i="1"/>
  <c r="H355" i="1"/>
  <c r="I355" i="1"/>
  <c r="J355" i="1"/>
  <c r="K355" i="1"/>
  <c r="L355" i="1"/>
  <c r="M355" i="1"/>
  <c r="N355" i="1"/>
  <c r="O355" i="1"/>
  <c r="Q355" i="1"/>
  <c r="A356" i="1"/>
  <c r="B356" i="1"/>
  <c r="C356" i="1"/>
  <c r="D356" i="1"/>
  <c r="E356" i="1"/>
  <c r="F356" i="1"/>
  <c r="H356" i="1"/>
  <c r="I356" i="1"/>
  <c r="J356" i="1"/>
  <c r="K356" i="1"/>
  <c r="L356" i="1"/>
  <c r="M356" i="1"/>
  <c r="N356" i="1"/>
  <c r="O356" i="1"/>
  <c r="Q356" i="1"/>
  <c r="A357" i="1"/>
  <c r="B357" i="1"/>
  <c r="C357" i="1"/>
  <c r="D357" i="1"/>
  <c r="E357" i="1"/>
  <c r="F357" i="1"/>
  <c r="H357" i="1"/>
  <c r="I357" i="1"/>
  <c r="J357" i="1"/>
  <c r="K357" i="1"/>
  <c r="L357" i="1"/>
  <c r="M357" i="1"/>
  <c r="N357" i="1"/>
  <c r="O357" i="1"/>
  <c r="Q357" i="1"/>
  <c r="A358" i="1"/>
  <c r="B358" i="1"/>
  <c r="C358" i="1"/>
  <c r="D358" i="1"/>
  <c r="E358" i="1"/>
  <c r="F358" i="1"/>
  <c r="H358" i="1"/>
  <c r="I358" i="1"/>
  <c r="J358" i="1"/>
  <c r="K358" i="1"/>
  <c r="L358" i="1"/>
  <c r="M358" i="1"/>
  <c r="N358" i="1"/>
  <c r="O358" i="1"/>
  <c r="Q358" i="1"/>
  <c r="A359" i="1"/>
  <c r="B359" i="1"/>
  <c r="C359" i="1"/>
  <c r="D359" i="1"/>
  <c r="E359" i="1"/>
  <c r="F359" i="1"/>
  <c r="H359" i="1"/>
  <c r="I359" i="1"/>
  <c r="J359" i="1"/>
  <c r="K359" i="1"/>
  <c r="L359" i="1"/>
  <c r="M359" i="1"/>
  <c r="N359" i="1"/>
  <c r="O359" i="1"/>
  <c r="Q359" i="1"/>
  <c r="A360" i="1"/>
  <c r="B360" i="1"/>
  <c r="C360" i="1"/>
  <c r="D360" i="1"/>
  <c r="E360" i="1"/>
  <c r="F360" i="1"/>
  <c r="H360" i="1"/>
  <c r="I360" i="1"/>
  <c r="J360" i="1"/>
  <c r="K360" i="1"/>
  <c r="L360" i="1"/>
  <c r="M360" i="1"/>
  <c r="N360" i="1"/>
  <c r="O360" i="1"/>
  <c r="Q360" i="1"/>
  <c r="A361" i="1"/>
  <c r="B361" i="1"/>
  <c r="C361" i="1"/>
  <c r="D361" i="1"/>
  <c r="E361" i="1"/>
  <c r="F361" i="1"/>
  <c r="H361" i="1"/>
  <c r="I361" i="1"/>
  <c r="J361" i="1"/>
  <c r="K361" i="1"/>
  <c r="L361" i="1"/>
  <c r="M361" i="1"/>
  <c r="N361" i="1"/>
  <c r="O361" i="1"/>
  <c r="Q361" i="1"/>
  <c r="A362" i="1"/>
  <c r="B362" i="1"/>
  <c r="C362" i="1"/>
  <c r="D362" i="1"/>
  <c r="E362" i="1"/>
  <c r="F362" i="1"/>
  <c r="H362" i="1"/>
  <c r="I362" i="1"/>
  <c r="J362" i="1"/>
  <c r="K362" i="1"/>
  <c r="L362" i="1"/>
  <c r="M362" i="1"/>
  <c r="N362" i="1"/>
  <c r="O362" i="1"/>
  <c r="Q362" i="1"/>
  <c r="A363" i="1"/>
  <c r="B363" i="1"/>
  <c r="C363" i="1"/>
  <c r="D363" i="1"/>
  <c r="E363" i="1"/>
  <c r="F363" i="1"/>
  <c r="H363" i="1"/>
  <c r="I363" i="1"/>
  <c r="J363" i="1"/>
  <c r="K363" i="1"/>
  <c r="L363" i="1"/>
  <c r="M363" i="1"/>
  <c r="N363" i="1"/>
  <c r="O363" i="1"/>
  <c r="Q363" i="1"/>
  <c r="A364" i="1"/>
  <c r="B364" i="1"/>
  <c r="C364" i="1"/>
  <c r="D364" i="1"/>
  <c r="E364" i="1"/>
  <c r="F364" i="1"/>
  <c r="H364" i="1"/>
  <c r="I364" i="1"/>
  <c r="J364" i="1"/>
  <c r="K364" i="1"/>
  <c r="L364" i="1"/>
  <c r="M364" i="1"/>
  <c r="N364" i="1"/>
  <c r="O364" i="1"/>
  <c r="Q364" i="1"/>
  <c r="A365" i="1"/>
  <c r="B365" i="1"/>
  <c r="C365" i="1"/>
  <c r="D365" i="1"/>
  <c r="E365" i="1"/>
  <c r="F365" i="1"/>
  <c r="H365" i="1"/>
  <c r="I365" i="1"/>
  <c r="J365" i="1"/>
  <c r="K365" i="1"/>
  <c r="L365" i="1"/>
  <c r="M365" i="1"/>
  <c r="N365" i="1"/>
  <c r="O365" i="1"/>
  <c r="Q365" i="1"/>
  <c r="A366" i="1"/>
  <c r="B366" i="1"/>
  <c r="C366" i="1"/>
  <c r="D366" i="1"/>
  <c r="E366" i="1"/>
  <c r="F366" i="1"/>
  <c r="H366" i="1"/>
  <c r="I366" i="1"/>
  <c r="J366" i="1"/>
  <c r="K366" i="1"/>
  <c r="L366" i="1"/>
  <c r="M366" i="1"/>
  <c r="N366" i="1"/>
  <c r="O366" i="1"/>
  <c r="Q366" i="1"/>
  <c r="A367" i="1"/>
  <c r="B367" i="1"/>
  <c r="C367" i="1"/>
  <c r="D367" i="1"/>
  <c r="E367" i="1"/>
  <c r="F367" i="1"/>
  <c r="H367" i="1"/>
  <c r="I367" i="1"/>
  <c r="J367" i="1"/>
  <c r="K367" i="1"/>
  <c r="L367" i="1"/>
  <c r="M367" i="1"/>
  <c r="N367" i="1"/>
  <c r="O367" i="1"/>
  <c r="Q367" i="1"/>
  <c r="A368" i="1"/>
  <c r="B368" i="1"/>
  <c r="C368" i="1"/>
  <c r="D368" i="1"/>
  <c r="E368" i="1"/>
  <c r="F368" i="1"/>
  <c r="H368" i="1"/>
  <c r="I368" i="1"/>
  <c r="J368" i="1"/>
  <c r="K368" i="1"/>
  <c r="L368" i="1"/>
  <c r="M368" i="1"/>
  <c r="N368" i="1"/>
  <c r="O368" i="1"/>
  <c r="Q368" i="1"/>
  <c r="A369" i="1"/>
  <c r="B369" i="1"/>
  <c r="C369" i="1"/>
  <c r="D369" i="1"/>
  <c r="E369" i="1"/>
  <c r="F369" i="1"/>
  <c r="H369" i="1"/>
  <c r="I369" i="1"/>
  <c r="J369" i="1"/>
  <c r="K369" i="1"/>
  <c r="L369" i="1"/>
  <c r="M369" i="1"/>
  <c r="N369" i="1"/>
  <c r="O369" i="1"/>
  <c r="Q369" i="1"/>
  <c r="A370" i="1"/>
  <c r="B370" i="1"/>
  <c r="C370" i="1"/>
  <c r="D370" i="1"/>
  <c r="E370" i="1"/>
  <c r="F370" i="1"/>
  <c r="H370" i="1"/>
  <c r="I370" i="1"/>
  <c r="J370" i="1"/>
  <c r="K370" i="1"/>
  <c r="L370" i="1"/>
  <c r="M370" i="1"/>
  <c r="N370" i="1"/>
  <c r="O370" i="1"/>
  <c r="Q370" i="1"/>
  <c r="A371" i="1"/>
  <c r="B371" i="1"/>
  <c r="C371" i="1"/>
  <c r="D371" i="1"/>
  <c r="E371" i="1"/>
  <c r="F371" i="1"/>
  <c r="H371" i="1"/>
  <c r="I371" i="1"/>
  <c r="J371" i="1"/>
  <c r="K371" i="1"/>
  <c r="L371" i="1"/>
  <c r="M371" i="1"/>
  <c r="N371" i="1"/>
  <c r="O371" i="1"/>
  <c r="Q371" i="1"/>
  <c r="A372" i="1"/>
  <c r="B372" i="1"/>
  <c r="C372" i="1"/>
  <c r="D372" i="1"/>
  <c r="E372" i="1"/>
  <c r="F372" i="1"/>
  <c r="H372" i="1"/>
  <c r="I372" i="1"/>
  <c r="J372" i="1"/>
  <c r="K372" i="1"/>
  <c r="L372" i="1"/>
  <c r="M372" i="1"/>
  <c r="N372" i="1"/>
  <c r="O372" i="1"/>
  <c r="Q372" i="1"/>
  <c r="A373" i="1"/>
  <c r="B373" i="1"/>
  <c r="C373" i="1"/>
  <c r="D373" i="1"/>
  <c r="E373" i="1"/>
  <c r="F373" i="1"/>
  <c r="H373" i="1"/>
  <c r="I373" i="1"/>
  <c r="J373" i="1"/>
  <c r="K373" i="1"/>
  <c r="L373" i="1"/>
  <c r="M373" i="1"/>
  <c r="N373" i="1"/>
  <c r="O373" i="1"/>
  <c r="Q373" i="1"/>
  <c r="A374" i="1"/>
  <c r="B374" i="1"/>
  <c r="C374" i="1"/>
  <c r="D374" i="1"/>
  <c r="E374" i="1"/>
  <c r="F374" i="1"/>
  <c r="H374" i="1"/>
  <c r="I374" i="1"/>
  <c r="J374" i="1"/>
  <c r="K374" i="1"/>
  <c r="L374" i="1"/>
  <c r="M374" i="1"/>
  <c r="N374" i="1"/>
  <c r="O374" i="1"/>
  <c r="Q374" i="1"/>
  <c r="A375" i="1"/>
  <c r="B375" i="1"/>
  <c r="C375" i="1"/>
  <c r="D375" i="1"/>
  <c r="E375" i="1"/>
  <c r="F375" i="1"/>
  <c r="H375" i="1"/>
  <c r="I375" i="1"/>
  <c r="J375" i="1"/>
  <c r="K375" i="1"/>
  <c r="L375" i="1"/>
  <c r="M375" i="1"/>
  <c r="N375" i="1"/>
  <c r="O375" i="1"/>
  <c r="Q375" i="1"/>
  <c r="A376" i="1"/>
  <c r="B376" i="1"/>
  <c r="C376" i="1"/>
  <c r="D376" i="1"/>
  <c r="E376" i="1"/>
  <c r="F376" i="1"/>
  <c r="H376" i="1"/>
  <c r="I376" i="1"/>
  <c r="J376" i="1"/>
  <c r="K376" i="1"/>
  <c r="L376" i="1"/>
  <c r="M376" i="1"/>
  <c r="N376" i="1"/>
  <c r="O376" i="1"/>
  <c r="Q376" i="1"/>
  <c r="A377" i="1"/>
  <c r="B377" i="1"/>
  <c r="C377" i="1"/>
  <c r="D377" i="1"/>
  <c r="E377" i="1"/>
  <c r="F377" i="1"/>
  <c r="H377" i="1"/>
  <c r="I377" i="1"/>
  <c r="J377" i="1"/>
  <c r="K377" i="1"/>
  <c r="L377" i="1"/>
  <c r="M377" i="1"/>
  <c r="N377" i="1"/>
  <c r="O377" i="1"/>
  <c r="Q377" i="1"/>
  <c r="A378" i="1"/>
  <c r="B378" i="1"/>
  <c r="C378" i="1"/>
  <c r="D378" i="1"/>
  <c r="E378" i="1"/>
  <c r="F378" i="1"/>
  <c r="H378" i="1"/>
  <c r="I378" i="1"/>
  <c r="J378" i="1"/>
  <c r="K378" i="1"/>
  <c r="L378" i="1"/>
  <c r="M378" i="1"/>
  <c r="N378" i="1"/>
  <c r="O378" i="1"/>
  <c r="Q378" i="1"/>
  <c r="A379" i="1"/>
  <c r="B379" i="1"/>
  <c r="C379" i="1"/>
  <c r="D379" i="1"/>
  <c r="E379" i="1"/>
  <c r="F379" i="1"/>
  <c r="H379" i="1"/>
  <c r="I379" i="1"/>
  <c r="J379" i="1"/>
  <c r="K379" i="1"/>
  <c r="L379" i="1"/>
  <c r="M379" i="1"/>
  <c r="N379" i="1"/>
  <c r="O379" i="1"/>
  <c r="Q379" i="1"/>
  <c r="A380" i="1"/>
  <c r="B380" i="1"/>
  <c r="C380" i="1"/>
  <c r="D380" i="1"/>
  <c r="E380" i="1"/>
  <c r="F380" i="1"/>
  <c r="H380" i="1"/>
  <c r="I380" i="1"/>
  <c r="J380" i="1"/>
  <c r="K380" i="1"/>
  <c r="L380" i="1"/>
  <c r="M380" i="1"/>
  <c r="N380" i="1"/>
  <c r="O380" i="1"/>
  <c r="Q380" i="1"/>
  <c r="A381" i="1"/>
  <c r="B381" i="1"/>
  <c r="C381" i="1"/>
  <c r="D381" i="1"/>
  <c r="E381" i="1"/>
  <c r="F381" i="1"/>
  <c r="H381" i="1"/>
  <c r="I381" i="1"/>
  <c r="J381" i="1"/>
  <c r="K381" i="1"/>
  <c r="L381" i="1"/>
  <c r="M381" i="1"/>
  <c r="N381" i="1"/>
  <c r="O381" i="1"/>
  <c r="Q381" i="1"/>
  <c r="A382" i="1"/>
  <c r="B382" i="1"/>
  <c r="C382" i="1"/>
  <c r="D382" i="1"/>
  <c r="E382" i="1"/>
  <c r="F382" i="1"/>
  <c r="H382" i="1"/>
  <c r="I382" i="1"/>
  <c r="J382" i="1"/>
  <c r="K382" i="1"/>
  <c r="L382" i="1"/>
  <c r="M382" i="1"/>
  <c r="N382" i="1"/>
  <c r="O382" i="1"/>
  <c r="Q382" i="1"/>
  <c r="A383" i="1"/>
  <c r="B383" i="1"/>
  <c r="C383" i="1"/>
  <c r="D383" i="1"/>
  <c r="E383" i="1"/>
  <c r="F383" i="1"/>
  <c r="H383" i="1"/>
  <c r="I383" i="1"/>
  <c r="J383" i="1"/>
  <c r="K383" i="1"/>
  <c r="L383" i="1"/>
  <c r="M383" i="1"/>
  <c r="N383" i="1"/>
  <c r="O383" i="1"/>
  <c r="Q383" i="1"/>
  <c r="A384" i="1"/>
  <c r="B384" i="1"/>
  <c r="C384" i="1"/>
  <c r="D384" i="1"/>
  <c r="E384" i="1"/>
  <c r="F384" i="1"/>
  <c r="H384" i="1"/>
  <c r="I384" i="1"/>
  <c r="J384" i="1"/>
  <c r="K384" i="1"/>
  <c r="L384" i="1"/>
  <c r="M384" i="1"/>
  <c r="N384" i="1"/>
  <c r="O384" i="1"/>
  <c r="Q384" i="1"/>
  <c r="A385" i="1"/>
  <c r="B385" i="1"/>
  <c r="C385" i="1"/>
  <c r="D385" i="1"/>
  <c r="E385" i="1"/>
  <c r="F385" i="1"/>
  <c r="H385" i="1"/>
  <c r="I385" i="1"/>
  <c r="J385" i="1"/>
  <c r="K385" i="1"/>
  <c r="L385" i="1"/>
  <c r="M385" i="1"/>
  <c r="N385" i="1"/>
  <c r="O385" i="1"/>
  <c r="Q385" i="1"/>
  <c r="A386" i="1"/>
  <c r="B386" i="1"/>
  <c r="C386" i="1"/>
  <c r="D386" i="1"/>
  <c r="E386" i="1"/>
  <c r="F386" i="1"/>
  <c r="H386" i="1"/>
  <c r="I386" i="1"/>
  <c r="J386" i="1"/>
  <c r="K386" i="1"/>
  <c r="L386" i="1"/>
  <c r="M386" i="1"/>
  <c r="N386" i="1"/>
  <c r="O386" i="1"/>
  <c r="Q386" i="1"/>
  <c r="A387" i="1"/>
  <c r="B387" i="1"/>
  <c r="C387" i="1"/>
  <c r="D387" i="1"/>
  <c r="E387" i="1"/>
  <c r="F387" i="1"/>
  <c r="H387" i="1"/>
  <c r="I387" i="1"/>
  <c r="J387" i="1"/>
  <c r="K387" i="1"/>
  <c r="L387" i="1"/>
  <c r="M387" i="1"/>
  <c r="N387" i="1"/>
  <c r="O387" i="1"/>
  <c r="Q387" i="1"/>
  <c r="A388" i="1"/>
  <c r="B388" i="1"/>
  <c r="C388" i="1"/>
  <c r="D388" i="1"/>
  <c r="E388" i="1"/>
  <c r="F388" i="1"/>
  <c r="H388" i="1"/>
  <c r="I388" i="1"/>
  <c r="J388" i="1"/>
  <c r="K388" i="1"/>
  <c r="L388" i="1"/>
  <c r="M388" i="1"/>
  <c r="N388" i="1"/>
  <c r="O388" i="1"/>
  <c r="Q388" i="1"/>
  <c r="A389" i="1"/>
  <c r="B389" i="1"/>
  <c r="C389" i="1"/>
  <c r="D389" i="1"/>
  <c r="E389" i="1"/>
  <c r="F389" i="1"/>
  <c r="H389" i="1"/>
  <c r="I389" i="1"/>
  <c r="J389" i="1"/>
  <c r="K389" i="1"/>
  <c r="L389" i="1"/>
  <c r="M389" i="1"/>
  <c r="N389" i="1"/>
  <c r="O389" i="1"/>
  <c r="Q389" i="1"/>
  <c r="A390" i="1"/>
  <c r="B390" i="1"/>
  <c r="C390" i="1"/>
  <c r="D390" i="1"/>
  <c r="E390" i="1"/>
  <c r="F390" i="1"/>
  <c r="H390" i="1"/>
  <c r="I390" i="1"/>
  <c r="J390" i="1"/>
  <c r="K390" i="1"/>
  <c r="L390" i="1"/>
  <c r="M390" i="1"/>
  <c r="N390" i="1"/>
  <c r="O390" i="1"/>
  <c r="Q390" i="1"/>
  <c r="A391" i="1"/>
  <c r="B391" i="1"/>
  <c r="C391" i="1"/>
  <c r="D391" i="1"/>
  <c r="E391" i="1"/>
  <c r="F391" i="1"/>
  <c r="H391" i="1"/>
  <c r="I391" i="1"/>
  <c r="J391" i="1"/>
  <c r="K391" i="1"/>
  <c r="L391" i="1"/>
  <c r="M391" i="1"/>
  <c r="N391" i="1"/>
  <c r="O391" i="1"/>
  <c r="Q391" i="1"/>
  <c r="A392" i="1"/>
  <c r="B392" i="1"/>
  <c r="C392" i="1"/>
  <c r="D392" i="1"/>
  <c r="E392" i="1"/>
  <c r="F392" i="1"/>
  <c r="H392" i="1"/>
  <c r="I392" i="1"/>
  <c r="J392" i="1"/>
  <c r="K392" i="1"/>
  <c r="L392" i="1"/>
  <c r="M392" i="1"/>
  <c r="N392" i="1"/>
  <c r="O392" i="1"/>
  <c r="Q392" i="1"/>
  <c r="A393" i="1"/>
  <c r="B393" i="1"/>
  <c r="C393" i="1"/>
  <c r="D393" i="1"/>
  <c r="E393" i="1"/>
  <c r="F393" i="1"/>
  <c r="H393" i="1"/>
  <c r="I393" i="1"/>
  <c r="J393" i="1"/>
  <c r="K393" i="1"/>
  <c r="L393" i="1"/>
  <c r="M393" i="1"/>
  <c r="N393" i="1"/>
  <c r="O393" i="1"/>
  <c r="Q393" i="1"/>
  <c r="A394" i="1"/>
  <c r="B394" i="1"/>
  <c r="C394" i="1"/>
  <c r="D394" i="1"/>
  <c r="E394" i="1"/>
  <c r="F394" i="1"/>
  <c r="H394" i="1"/>
  <c r="I394" i="1"/>
  <c r="J394" i="1"/>
  <c r="K394" i="1"/>
  <c r="L394" i="1"/>
  <c r="M394" i="1"/>
  <c r="N394" i="1"/>
  <c r="O394" i="1"/>
  <c r="Q394" i="1"/>
  <c r="A395" i="1"/>
  <c r="B395" i="1"/>
  <c r="C395" i="1"/>
  <c r="D395" i="1"/>
  <c r="E395" i="1"/>
  <c r="F395" i="1"/>
  <c r="H395" i="1"/>
  <c r="I395" i="1"/>
  <c r="J395" i="1"/>
  <c r="K395" i="1"/>
  <c r="L395" i="1"/>
  <c r="M395" i="1"/>
  <c r="N395" i="1"/>
  <c r="O395" i="1"/>
  <c r="Q395" i="1"/>
  <c r="A396" i="1"/>
  <c r="B396" i="1"/>
  <c r="C396" i="1"/>
  <c r="D396" i="1"/>
  <c r="E396" i="1"/>
  <c r="F396" i="1"/>
  <c r="H396" i="1"/>
  <c r="I396" i="1"/>
  <c r="J396" i="1"/>
  <c r="K396" i="1"/>
  <c r="L396" i="1"/>
  <c r="M396" i="1"/>
  <c r="N396" i="1"/>
  <c r="O396" i="1"/>
  <c r="Q396" i="1"/>
  <c r="A397" i="1"/>
  <c r="B397" i="1"/>
  <c r="C397" i="1"/>
  <c r="D397" i="1"/>
  <c r="E397" i="1"/>
  <c r="F397" i="1"/>
  <c r="H397" i="1"/>
  <c r="I397" i="1"/>
  <c r="J397" i="1"/>
  <c r="K397" i="1"/>
  <c r="L397" i="1"/>
  <c r="M397" i="1"/>
  <c r="N397" i="1"/>
  <c r="O397" i="1"/>
  <c r="Q397" i="1"/>
  <c r="A398" i="1"/>
  <c r="B398" i="1"/>
  <c r="C398" i="1"/>
  <c r="D398" i="1"/>
  <c r="E398" i="1"/>
  <c r="F398" i="1"/>
  <c r="H398" i="1"/>
  <c r="I398" i="1"/>
  <c r="J398" i="1"/>
  <c r="K398" i="1"/>
  <c r="L398" i="1"/>
  <c r="M398" i="1"/>
  <c r="N398" i="1"/>
  <c r="O398" i="1"/>
  <c r="Q398" i="1"/>
  <c r="A399" i="1"/>
  <c r="B399" i="1"/>
  <c r="C399" i="1"/>
  <c r="D399" i="1"/>
  <c r="E399" i="1"/>
  <c r="F399" i="1"/>
  <c r="H399" i="1"/>
  <c r="I399" i="1"/>
  <c r="J399" i="1"/>
  <c r="K399" i="1"/>
  <c r="L399" i="1"/>
  <c r="M399" i="1"/>
  <c r="N399" i="1"/>
  <c r="O399" i="1"/>
  <c r="Q399" i="1"/>
  <c r="A400" i="1"/>
  <c r="B400" i="1"/>
  <c r="C400" i="1"/>
  <c r="D400" i="1"/>
  <c r="E400" i="1"/>
  <c r="F400" i="1"/>
  <c r="H400" i="1"/>
  <c r="I400" i="1"/>
  <c r="J400" i="1"/>
  <c r="K400" i="1"/>
  <c r="L400" i="1"/>
  <c r="M400" i="1"/>
  <c r="N400" i="1"/>
  <c r="O400" i="1"/>
  <c r="Q400" i="1"/>
  <c r="A401" i="1"/>
  <c r="B401" i="1"/>
  <c r="C401" i="1"/>
  <c r="D401" i="1"/>
  <c r="E401" i="1"/>
  <c r="F401" i="1"/>
  <c r="H401" i="1"/>
  <c r="I401" i="1"/>
  <c r="J401" i="1"/>
  <c r="K401" i="1"/>
  <c r="L401" i="1"/>
  <c r="M401" i="1"/>
  <c r="N401" i="1"/>
  <c r="O401" i="1"/>
  <c r="Q401" i="1"/>
  <c r="A402" i="1"/>
  <c r="B402" i="1"/>
  <c r="C402" i="1"/>
  <c r="D402" i="1"/>
  <c r="E402" i="1"/>
  <c r="F402" i="1"/>
  <c r="H402" i="1"/>
  <c r="I402" i="1"/>
  <c r="J402" i="1"/>
  <c r="K402" i="1"/>
  <c r="L402" i="1"/>
  <c r="M402" i="1"/>
  <c r="N402" i="1"/>
  <c r="O402" i="1"/>
  <c r="Q402" i="1"/>
  <c r="A403" i="1"/>
  <c r="B403" i="1"/>
  <c r="C403" i="1"/>
  <c r="D403" i="1"/>
  <c r="E403" i="1"/>
  <c r="F403" i="1"/>
  <c r="H403" i="1"/>
  <c r="I403" i="1"/>
  <c r="J403" i="1"/>
  <c r="K403" i="1"/>
  <c r="L403" i="1"/>
  <c r="M403" i="1"/>
  <c r="N403" i="1"/>
  <c r="O403" i="1"/>
  <c r="Q403" i="1"/>
  <c r="A404" i="1"/>
  <c r="B404" i="1"/>
  <c r="C404" i="1"/>
  <c r="D404" i="1"/>
  <c r="E404" i="1"/>
  <c r="F404" i="1"/>
  <c r="H404" i="1"/>
  <c r="I404" i="1"/>
  <c r="J404" i="1"/>
  <c r="K404" i="1"/>
  <c r="L404" i="1"/>
  <c r="M404" i="1"/>
  <c r="N404" i="1"/>
  <c r="O404" i="1"/>
  <c r="Q404" i="1"/>
  <c r="A405" i="1"/>
  <c r="B405" i="1"/>
  <c r="C405" i="1"/>
  <c r="D405" i="1"/>
  <c r="E405" i="1"/>
  <c r="F405" i="1"/>
  <c r="H405" i="1"/>
  <c r="I405" i="1"/>
  <c r="J405" i="1"/>
  <c r="K405" i="1"/>
  <c r="L405" i="1"/>
  <c r="M405" i="1"/>
  <c r="N405" i="1"/>
  <c r="O405" i="1"/>
  <c r="Q405" i="1"/>
  <c r="A406" i="1"/>
  <c r="B406" i="1"/>
  <c r="C406" i="1"/>
  <c r="D406" i="1"/>
  <c r="E406" i="1"/>
  <c r="F406" i="1"/>
  <c r="H406" i="1"/>
  <c r="I406" i="1"/>
  <c r="J406" i="1"/>
  <c r="K406" i="1"/>
  <c r="L406" i="1"/>
  <c r="M406" i="1"/>
  <c r="N406" i="1"/>
  <c r="O406" i="1"/>
  <c r="Q406" i="1"/>
  <c r="A407" i="1"/>
  <c r="B407" i="1"/>
  <c r="C407" i="1"/>
  <c r="D407" i="1"/>
  <c r="E407" i="1"/>
  <c r="F407" i="1"/>
  <c r="H407" i="1"/>
  <c r="I407" i="1"/>
  <c r="J407" i="1"/>
  <c r="K407" i="1"/>
  <c r="L407" i="1"/>
  <c r="M407" i="1"/>
  <c r="N407" i="1"/>
  <c r="O407" i="1"/>
  <c r="Q407" i="1"/>
  <c r="A408" i="1"/>
  <c r="B408" i="1"/>
  <c r="C408" i="1"/>
  <c r="D408" i="1"/>
  <c r="E408" i="1"/>
  <c r="F408" i="1"/>
  <c r="H408" i="1"/>
  <c r="I408" i="1"/>
  <c r="J408" i="1"/>
  <c r="K408" i="1"/>
  <c r="L408" i="1"/>
  <c r="M408" i="1"/>
  <c r="N408" i="1"/>
  <c r="O408" i="1"/>
  <c r="Q408" i="1"/>
  <c r="A409" i="1"/>
  <c r="B409" i="1"/>
  <c r="C409" i="1"/>
  <c r="D409" i="1"/>
  <c r="E409" i="1"/>
  <c r="F409" i="1"/>
  <c r="H409" i="1"/>
  <c r="I409" i="1"/>
  <c r="J409" i="1"/>
  <c r="K409" i="1"/>
  <c r="L409" i="1"/>
  <c r="M409" i="1"/>
  <c r="N409" i="1"/>
  <c r="O409" i="1"/>
  <c r="Q409" i="1"/>
  <c r="A410" i="1"/>
  <c r="B410" i="1"/>
  <c r="C410" i="1"/>
  <c r="D410" i="1"/>
  <c r="E410" i="1"/>
  <c r="F410" i="1"/>
  <c r="H410" i="1"/>
  <c r="I410" i="1"/>
  <c r="J410" i="1"/>
  <c r="K410" i="1"/>
  <c r="L410" i="1"/>
  <c r="M410" i="1"/>
  <c r="N410" i="1"/>
  <c r="O410" i="1"/>
  <c r="Q410" i="1"/>
  <c r="A411" i="1"/>
  <c r="B411" i="1"/>
  <c r="C411" i="1"/>
  <c r="D411" i="1"/>
  <c r="E411" i="1"/>
  <c r="F411" i="1"/>
  <c r="H411" i="1"/>
  <c r="I411" i="1"/>
  <c r="J411" i="1"/>
  <c r="K411" i="1"/>
  <c r="L411" i="1"/>
  <c r="M411" i="1"/>
  <c r="N411" i="1"/>
  <c r="O411" i="1"/>
  <c r="Q411" i="1"/>
  <c r="A412" i="1"/>
  <c r="B412" i="1"/>
  <c r="C412" i="1"/>
  <c r="D412" i="1"/>
  <c r="E412" i="1"/>
  <c r="F412" i="1"/>
  <c r="H412" i="1"/>
  <c r="I412" i="1"/>
  <c r="J412" i="1"/>
  <c r="K412" i="1"/>
  <c r="L412" i="1"/>
  <c r="M412" i="1"/>
  <c r="N412" i="1"/>
  <c r="O412" i="1"/>
  <c r="Q412" i="1"/>
  <c r="A413" i="1"/>
  <c r="B413" i="1"/>
  <c r="C413" i="1"/>
  <c r="D413" i="1"/>
  <c r="E413" i="1"/>
  <c r="F413" i="1"/>
  <c r="H413" i="1"/>
  <c r="I413" i="1"/>
  <c r="J413" i="1"/>
  <c r="K413" i="1"/>
  <c r="L413" i="1"/>
  <c r="M413" i="1"/>
  <c r="N413" i="1"/>
  <c r="O413" i="1"/>
  <c r="Q413" i="1"/>
  <c r="A414" i="1"/>
  <c r="B414" i="1"/>
  <c r="C414" i="1"/>
  <c r="D414" i="1"/>
  <c r="E414" i="1"/>
  <c r="F414" i="1"/>
  <c r="H414" i="1"/>
  <c r="I414" i="1"/>
  <c r="J414" i="1"/>
  <c r="K414" i="1"/>
  <c r="L414" i="1"/>
  <c r="M414" i="1"/>
  <c r="N414" i="1"/>
  <c r="O414" i="1"/>
  <c r="Q414" i="1"/>
  <c r="A415" i="1"/>
  <c r="B415" i="1"/>
  <c r="C415" i="1"/>
  <c r="D415" i="1"/>
  <c r="E415" i="1"/>
  <c r="F415" i="1"/>
  <c r="H415" i="1"/>
  <c r="I415" i="1"/>
  <c r="J415" i="1"/>
  <c r="K415" i="1"/>
  <c r="L415" i="1"/>
  <c r="M415" i="1"/>
  <c r="N415" i="1"/>
  <c r="O415" i="1"/>
  <c r="Q415" i="1"/>
  <c r="A416" i="1"/>
  <c r="B416" i="1"/>
  <c r="C416" i="1"/>
  <c r="D416" i="1"/>
  <c r="E416" i="1"/>
  <c r="F416" i="1"/>
  <c r="H416" i="1"/>
  <c r="I416" i="1"/>
  <c r="J416" i="1"/>
  <c r="K416" i="1"/>
  <c r="L416" i="1"/>
  <c r="M416" i="1"/>
  <c r="N416" i="1"/>
  <c r="O416" i="1"/>
  <c r="Q416" i="1"/>
  <c r="A417" i="1"/>
  <c r="B417" i="1"/>
  <c r="C417" i="1"/>
  <c r="D417" i="1"/>
  <c r="E417" i="1"/>
  <c r="F417" i="1"/>
  <c r="H417" i="1"/>
  <c r="I417" i="1"/>
  <c r="J417" i="1"/>
  <c r="K417" i="1"/>
  <c r="L417" i="1"/>
  <c r="M417" i="1"/>
  <c r="N417" i="1"/>
  <c r="O417" i="1"/>
  <c r="Q417" i="1"/>
  <c r="A418" i="1"/>
  <c r="B418" i="1"/>
  <c r="C418" i="1"/>
  <c r="D418" i="1"/>
  <c r="E418" i="1"/>
  <c r="F418" i="1"/>
  <c r="H418" i="1"/>
  <c r="I418" i="1"/>
  <c r="J418" i="1"/>
  <c r="K418" i="1"/>
  <c r="L418" i="1"/>
  <c r="M418" i="1"/>
  <c r="N418" i="1"/>
  <c r="O418" i="1"/>
  <c r="Q418" i="1"/>
  <c r="A419" i="1"/>
  <c r="B419" i="1"/>
  <c r="C419" i="1"/>
  <c r="D419" i="1"/>
  <c r="E419" i="1"/>
  <c r="F419" i="1"/>
  <c r="H419" i="1"/>
  <c r="I419" i="1"/>
  <c r="J419" i="1"/>
  <c r="K419" i="1"/>
  <c r="L419" i="1"/>
  <c r="M419" i="1"/>
  <c r="N419" i="1"/>
  <c r="O419" i="1"/>
  <c r="Q419" i="1"/>
  <c r="A420" i="1"/>
  <c r="B420" i="1"/>
  <c r="C420" i="1"/>
  <c r="D420" i="1"/>
  <c r="E420" i="1"/>
  <c r="F420" i="1"/>
  <c r="H420" i="1"/>
  <c r="I420" i="1"/>
  <c r="J420" i="1"/>
  <c r="K420" i="1"/>
  <c r="L420" i="1"/>
  <c r="M420" i="1"/>
  <c r="N420" i="1"/>
  <c r="O420" i="1"/>
  <c r="Q420" i="1"/>
  <c r="A421" i="1"/>
  <c r="B421" i="1"/>
  <c r="C421" i="1"/>
  <c r="D421" i="1"/>
  <c r="E421" i="1"/>
  <c r="F421" i="1"/>
  <c r="H421" i="1"/>
  <c r="I421" i="1"/>
  <c r="J421" i="1"/>
  <c r="K421" i="1"/>
  <c r="L421" i="1"/>
  <c r="M421" i="1"/>
  <c r="N421" i="1"/>
  <c r="O421" i="1"/>
  <c r="Q421" i="1"/>
  <c r="A422" i="1"/>
  <c r="B422" i="1"/>
  <c r="C422" i="1"/>
  <c r="D422" i="1"/>
  <c r="E422" i="1"/>
  <c r="F422" i="1"/>
  <c r="H422" i="1"/>
  <c r="I422" i="1"/>
  <c r="J422" i="1"/>
  <c r="K422" i="1"/>
  <c r="L422" i="1"/>
  <c r="M422" i="1"/>
  <c r="N422" i="1"/>
  <c r="O422" i="1"/>
  <c r="Q422" i="1"/>
  <c r="A423" i="1"/>
  <c r="B423" i="1"/>
  <c r="C423" i="1"/>
  <c r="D423" i="1"/>
  <c r="E423" i="1"/>
  <c r="F423" i="1"/>
  <c r="H423" i="1"/>
  <c r="I423" i="1"/>
  <c r="J423" i="1"/>
  <c r="K423" i="1"/>
  <c r="L423" i="1"/>
  <c r="M423" i="1"/>
  <c r="N423" i="1"/>
  <c r="O423" i="1"/>
  <c r="Q423" i="1"/>
  <c r="A424" i="1"/>
  <c r="B424" i="1"/>
  <c r="C424" i="1"/>
  <c r="D424" i="1"/>
  <c r="E424" i="1"/>
  <c r="F424" i="1"/>
  <c r="H424" i="1"/>
  <c r="I424" i="1"/>
  <c r="J424" i="1"/>
  <c r="K424" i="1"/>
  <c r="L424" i="1"/>
  <c r="M424" i="1"/>
  <c r="N424" i="1"/>
  <c r="O424" i="1"/>
  <c r="Q424" i="1"/>
  <c r="A425" i="1"/>
  <c r="B425" i="1"/>
  <c r="C425" i="1"/>
  <c r="D425" i="1"/>
  <c r="E425" i="1"/>
  <c r="F425" i="1"/>
  <c r="H425" i="1"/>
  <c r="I425" i="1"/>
  <c r="J425" i="1"/>
  <c r="K425" i="1"/>
  <c r="L425" i="1"/>
  <c r="M425" i="1"/>
  <c r="N425" i="1"/>
  <c r="O425" i="1"/>
  <c r="Q425" i="1"/>
  <c r="A426" i="1"/>
  <c r="B426" i="1"/>
  <c r="C426" i="1"/>
  <c r="D426" i="1"/>
  <c r="E426" i="1"/>
  <c r="F426" i="1"/>
  <c r="H426" i="1"/>
  <c r="I426" i="1"/>
  <c r="J426" i="1"/>
  <c r="K426" i="1"/>
  <c r="L426" i="1"/>
  <c r="M426" i="1"/>
  <c r="N426" i="1"/>
  <c r="O426" i="1"/>
  <c r="Q426" i="1"/>
  <c r="A427" i="1"/>
  <c r="B427" i="1"/>
  <c r="C427" i="1"/>
  <c r="D427" i="1"/>
  <c r="E427" i="1"/>
  <c r="F427" i="1"/>
  <c r="H427" i="1"/>
  <c r="I427" i="1"/>
  <c r="J427" i="1"/>
  <c r="K427" i="1"/>
  <c r="L427" i="1"/>
  <c r="M427" i="1"/>
  <c r="N427" i="1"/>
  <c r="O427" i="1"/>
  <c r="Q427" i="1"/>
  <c r="A428" i="1"/>
  <c r="B428" i="1"/>
  <c r="C428" i="1"/>
  <c r="D428" i="1"/>
  <c r="E428" i="1"/>
  <c r="F428" i="1"/>
  <c r="H428" i="1"/>
  <c r="I428" i="1"/>
  <c r="J428" i="1"/>
  <c r="K428" i="1"/>
  <c r="L428" i="1"/>
  <c r="M428" i="1"/>
  <c r="N428" i="1"/>
  <c r="O428" i="1"/>
  <c r="Q428" i="1"/>
  <c r="A429" i="1"/>
  <c r="B429" i="1"/>
  <c r="C429" i="1"/>
  <c r="D429" i="1"/>
  <c r="E429" i="1"/>
  <c r="F429" i="1"/>
  <c r="H429" i="1"/>
  <c r="I429" i="1"/>
  <c r="J429" i="1"/>
  <c r="K429" i="1"/>
  <c r="L429" i="1"/>
  <c r="M429" i="1"/>
  <c r="N429" i="1"/>
  <c r="O429" i="1"/>
  <c r="Q429" i="1"/>
  <c r="A430" i="1"/>
  <c r="B430" i="1"/>
  <c r="C430" i="1"/>
  <c r="D430" i="1"/>
  <c r="E430" i="1"/>
  <c r="F430" i="1"/>
  <c r="H430" i="1"/>
  <c r="I430" i="1"/>
  <c r="J430" i="1"/>
  <c r="K430" i="1"/>
  <c r="L430" i="1"/>
  <c r="M430" i="1"/>
  <c r="N430" i="1"/>
  <c r="O430" i="1"/>
  <c r="Q430" i="1"/>
  <c r="A431" i="1"/>
  <c r="B431" i="1"/>
  <c r="C431" i="1"/>
  <c r="D431" i="1"/>
  <c r="E431" i="1"/>
  <c r="F431" i="1"/>
  <c r="H431" i="1"/>
  <c r="I431" i="1"/>
  <c r="J431" i="1"/>
  <c r="K431" i="1"/>
  <c r="L431" i="1"/>
  <c r="M431" i="1"/>
  <c r="N431" i="1"/>
  <c r="O431" i="1"/>
  <c r="Q431" i="1"/>
  <c r="A432" i="1"/>
  <c r="B432" i="1"/>
  <c r="C432" i="1"/>
  <c r="D432" i="1"/>
  <c r="E432" i="1"/>
  <c r="F432" i="1"/>
  <c r="H432" i="1"/>
  <c r="I432" i="1"/>
  <c r="J432" i="1"/>
  <c r="K432" i="1"/>
  <c r="L432" i="1"/>
  <c r="M432" i="1"/>
  <c r="N432" i="1"/>
  <c r="O432" i="1"/>
  <c r="Q432" i="1"/>
  <c r="A433" i="1"/>
  <c r="B433" i="1"/>
  <c r="C433" i="1"/>
  <c r="D433" i="1"/>
  <c r="E433" i="1"/>
  <c r="F433" i="1"/>
  <c r="H433" i="1"/>
  <c r="I433" i="1"/>
  <c r="J433" i="1"/>
  <c r="K433" i="1"/>
  <c r="L433" i="1"/>
  <c r="M433" i="1"/>
  <c r="N433" i="1"/>
  <c r="O433" i="1"/>
  <c r="Q433" i="1"/>
  <c r="A434" i="1"/>
  <c r="B434" i="1"/>
  <c r="C434" i="1"/>
  <c r="D434" i="1"/>
  <c r="E434" i="1"/>
  <c r="F434" i="1"/>
  <c r="H434" i="1"/>
  <c r="I434" i="1"/>
  <c r="J434" i="1"/>
  <c r="K434" i="1"/>
  <c r="L434" i="1"/>
  <c r="M434" i="1"/>
  <c r="N434" i="1"/>
  <c r="O434" i="1"/>
  <c r="Q434" i="1"/>
  <c r="A435" i="1"/>
  <c r="B435" i="1"/>
  <c r="C435" i="1"/>
  <c r="D435" i="1"/>
  <c r="E435" i="1"/>
  <c r="F435" i="1"/>
  <c r="H435" i="1"/>
  <c r="I435" i="1"/>
  <c r="J435" i="1"/>
  <c r="K435" i="1"/>
  <c r="L435" i="1"/>
  <c r="M435" i="1"/>
  <c r="N435" i="1"/>
  <c r="O435" i="1"/>
  <c r="Q435" i="1"/>
  <c r="A436" i="1"/>
  <c r="B436" i="1"/>
  <c r="C436" i="1"/>
  <c r="D436" i="1"/>
  <c r="E436" i="1"/>
  <c r="F436" i="1"/>
  <c r="H436" i="1"/>
  <c r="I436" i="1"/>
  <c r="J436" i="1"/>
  <c r="K436" i="1"/>
  <c r="L436" i="1"/>
  <c r="M436" i="1"/>
  <c r="N436" i="1"/>
  <c r="O436" i="1"/>
  <c r="Q436" i="1"/>
  <c r="A437" i="1"/>
  <c r="B437" i="1"/>
  <c r="C437" i="1"/>
  <c r="D437" i="1"/>
  <c r="E437" i="1"/>
  <c r="F437" i="1"/>
  <c r="H437" i="1"/>
  <c r="I437" i="1"/>
  <c r="J437" i="1"/>
  <c r="K437" i="1"/>
  <c r="L437" i="1"/>
  <c r="M437" i="1"/>
  <c r="N437" i="1"/>
  <c r="O437" i="1"/>
  <c r="Q437" i="1"/>
  <c r="A438" i="1"/>
  <c r="B438" i="1"/>
  <c r="C438" i="1"/>
  <c r="D438" i="1"/>
  <c r="E438" i="1"/>
  <c r="F438" i="1"/>
  <c r="H438" i="1"/>
  <c r="I438" i="1"/>
  <c r="J438" i="1"/>
  <c r="K438" i="1"/>
  <c r="L438" i="1"/>
  <c r="M438" i="1"/>
  <c r="N438" i="1"/>
  <c r="O438" i="1"/>
  <c r="Q438" i="1"/>
  <c r="A439" i="1"/>
  <c r="B439" i="1"/>
  <c r="C439" i="1"/>
  <c r="D439" i="1"/>
  <c r="E439" i="1"/>
  <c r="F439" i="1"/>
  <c r="H439" i="1"/>
  <c r="I439" i="1"/>
  <c r="J439" i="1"/>
  <c r="K439" i="1"/>
  <c r="L439" i="1"/>
  <c r="M439" i="1"/>
  <c r="N439" i="1"/>
  <c r="O439" i="1"/>
  <c r="Q439" i="1"/>
  <c r="A440" i="1"/>
  <c r="B440" i="1"/>
  <c r="C440" i="1"/>
  <c r="D440" i="1"/>
  <c r="E440" i="1"/>
  <c r="F440" i="1"/>
  <c r="H440" i="1"/>
  <c r="I440" i="1"/>
  <c r="J440" i="1"/>
  <c r="K440" i="1"/>
  <c r="L440" i="1"/>
  <c r="M440" i="1"/>
  <c r="N440" i="1"/>
  <c r="O440" i="1"/>
  <c r="Q440" i="1"/>
  <c r="A441" i="1"/>
  <c r="B441" i="1"/>
  <c r="C441" i="1"/>
  <c r="D441" i="1"/>
  <c r="E441" i="1"/>
  <c r="F441" i="1"/>
  <c r="H441" i="1"/>
  <c r="I441" i="1"/>
  <c r="J441" i="1"/>
  <c r="K441" i="1"/>
  <c r="L441" i="1"/>
  <c r="M441" i="1"/>
  <c r="N441" i="1"/>
  <c r="O441" i="1"/>
  <c r="Q441" i="1"/>
  <c r="A442" i="1"/>
  <c r="B442" i="1"/>
  <c r="C442" i="1"/>
  <c r="D442" i="1"/>
  <c r="E442" i="1"/>
  <c r="F442" i="1"/>
  <c r="H442" i="1"/>
  <c r="I442" i="1"/>
  <c r="J442" i="1"/>
  <c r="K442" i="1"/>
  <c r="L442" i="1"/>
  <c r="M442" i="1"/>
  <c r="N442" i="1"/>
  <c r="O442" i="1"/>
  <c r="Q442" i="1"/>
  <c r="A443" i="1"/>
  <c r="B443" i="1"/>
  <c r="C443" i="1"/>
  <c r="D443" i="1"/>
  <c r="E443" i="1"/>
  <c r="F443" i="1"/>
  <c r="H443" i="1"/>
  <c r="I443" i="1"/>
  <c r="J443" i="1"/>
  <c r="K443" i="1"/>
  <c r="L443" i="1"/>
  <c r="M443" i="1"/>
  <c r="N443" i="1"/>
  <c r="O443" i="1"/>
  <c r="Q443" i="1"/>
  <c r="A444" i="1"/>
  <c r="B444" i="1"/>
  <c r="C444" i="1"/>
  <c r="D444" i="1"/>
  <c r="E444" i="1"/>
  <c r="F444" i="1"/>
  <c r="H444" i="1"/>
  <c r="I444" i="1"/>
  <c r="J444" i="1"/>
  <c r="K444" i="1"/>
  <c r="L444" i="1"/>
  <c r="M444" i="1"/>
  <c r="N444" i="1"/>
  <c r="O444" i="1"/>
  <c r="Q444" i="1"/>
  <c r="A445" i="1"/>
  <c r="B445" i="1"/>
  <c r="C445" i="1"/>
  <c r="D445" i="1"/>
  <c r="E445" i="1"/>
  <c r="F445" i="1"/>
  <c r="H445" i="1"/>
  <c r="I445" i="1"/>
  <c r="J445" i="1"/>
  <c r="K445" i="1"/>
  <c r="L445" i="1"/>
  <c r="M445" i="1"/>
  <c r="N445" i="1"/>
  <c r="O445" i="1"/>
  <c r="Q445" i="1"/>
  <c r="A446" i="1"/>
  <c r="B446" i="1"/>
  <c r="C446" i="1"/>
  <c r="D446" i="1"/>
  <c r="E446" i="1"/>
  <c r="F446" i="1"/>
  <c r="H446" i="1"/>
  <c r="I446" i="1"/>
  <c r="J446" i="1"/>
  <c r="K446" i="1"/>
  <c r="L446" i="1"/>
  <c r="M446" i="1"/>
  <c r="N446" i="1"/>
  <c r="O446" i="1"/>
  <c r="Q446" i="1"/>
  <c r="A447" i="1"/>
  <c r="B447" i="1"/>
  <c r="C447" i="1"/>
  <c r="D447" i="1"/>
  <c r="E447" i="1"/>
  <c r="F447" i="1"/>
  <c r="H447" i="1"/>
  <c r="I447" i="1"/>
  <c r="J447" i="1"/>
  <c r="K447" i="1"/>
  <c r="L447" i="1"/>
  <c r="M447" i="1"/>
  <c r="N447" i="1"/>
  <c r="O447" i="1"/>
  <c r="Q447" i="1"/>
  <c r="A448" i="1"/>
  <c r="B448" i="1"/>
  <c r="C448" i="1"/>
  <c r="D448" i="1"/>
  <c r="E448" i="1"/>
  <c r="F448" i="1"/>
  <c r="H448" i="1"/>
  <c r="I448" i="1"/>
  <c r="J448" i="1"/>
  <c r="K448" i="1"/>
  <c r="L448" i="1"/>
  <c r="M448" i="1"/>
  <c r="N448" i="1"/>
  <c r="O448" i="1"/>
  <c r="Q448" i="1"/>
  <c r="A449" i="1"/>
  <c r="B449" i="1"/>
  <c r="C449" i="1"/>
  <c r="D449" i="1"/>
  <c r="E449" i="1"/>
  <c r="F449" i="1"/>
  <c r="H449" i="1"/>
  <c r="I449" i="1"/>
  <c r="J449" i="1"/>
  <c r="K449" i="1"/>
  <c r="L449" i="1"/>
  <c r="M449" i="1"/>
  <c r="N449" i="1"/>
  <c r="O449" i="1"/>
  <c r="Q449" i="1"/>
  <c r="A450" i="1"/>
  <c r="B450" i="1"/>
  <c r="C450" i="1"/>
  <c r="D450" i="1"/>
  <c r="E450" i="1"/>
  <c r="F450" i="1"/>
  <c r="H450" i="1"/>
  <c r="I450" i="1"/>
  <c r="J450" i="1"/>
  <c r="K450" i="1"/>
  <c r="L450" i="1"/>
  <c r="M450" i="1"/>
  <c r="N450" i="1"/>
  <c r="O450" i="1"/>
  <c r="Q450" i="1"/>
  <c r="A451" i="1"/>
  <c r="B451" i="1"/>
  <c r="C451" i="1"/>
  <c r="D451" i="1"/>
  <c r="E451" i="1"/>
  <c r="F451" i="1"/>
  <c r="H451" i="1"/>
  <c r="I451" i="1"/>
  <c r="J451" i="1"/>
  <c r="K451" i="1"/>
  <c r="L451" i="1"/>
  <c r="M451" i="1"/>
  <c r="N451" i="1"/>
  <c r="O451" i="1"/>
  <c r="Q451" i="1"/>
  <c r="A452" i="1"/>
  <c r="B452" i="1"/>
  <c r="C452" i="1"/>
  <c r="D452" i="1"/>
  <c r="E452" i="1"/>
  <c r="F452" i="1"/>
  <c r="H452" i="1"/>
  <c r="I452" i="1"/>
  <c r="J452" i="1"/>
  <c r="K452" i="1"/>
  <c r="L452" i="1"/>
  <c r="M452" i="1"/>
  <c r="N452" i="1"/>
  <c r="O452" i="1"/>
  <c r="Q452" i="1"/>
  <c r="A453" i="1"/>
  <c r="B453" i="1"/>
  <c r="C453" i="1"/>
  <c r="D453" i="1"/>
  <c r="E453" i="1"/>
  <c r="F453" i="1"/>
  <c r="H453" i="1"/>
  <c r="I453" i="1"/>
  <c r="J453" i="1"/>
  <c r="K453" i="1"/>
  <c r="L453" i="1"/>
  <c r="M453" i="1"/>
  <c r="N453" i="1"/>
  <c r="O453" i="1"/>
  <c r="Q453" i="1"/>
  <c r="A454" i="1"/>
  <c r="B454" i="1"/>
  <c r="C454" i="1"/>
  <c r="D454" i="1"/>
  <c r="E454" i="1"/>
  <c r="F454" i="1"/>
  <c r="H454" i="1"/>
  <c r="I454" i="1"/>
  <c r="J454" i="1"/>
  <c r="K454" i="1"/>
  <c r="L454" i="1"/>
  <c r="M454" i="1"/>
  <c r="N454" i="1"/>
  <c r="O454" i="1"/>
  <c r="Q454" i="1"/>
  <c r="A455" i="1"/>
  <c r="B455" i="1"/>
  <c r="C455" i="1"/>
  <c r="D455" i="1"/>
  <c r="E455" i="1"/>
  <c r="F455" i="1"/>
  <c r="H455" i="1"/>
  <c r="I455" i="1"/>
  <c r="J455" i="1"/>
  <c r="K455" i="1"/>
  <c r="L455" i="1"/>
  <c r="M455" i="1"/>
  <c r="N455" i="1"/>
  <c r="O455" i="1"/>
  <c r="Q455" i="1"/>
  <c r="A456" i="1"/>
  <c r="B456" i="1"/>
  <c r="C456" i="1"/>
  <c r="D456" i="1"/>
  <c r="E456" i="1"/>
  <c r="F456" i="1"/>
  <c r="H456" i="1"/>
  <c r="I456" i="1"/>
  <c r="J456" i="1"/>
  <c r="K456" i="1"/>
  <c r="L456" i="1"/>
  <c r="M456" i="1"/>
  <c r="N456" i="1"/>
  <c r="O456" i="1"/>
  <c r="Q456" i="1"/>
  <c r="A457" i="1"/>
  <c r="B457" i="1"/>
  <c r="C457" i="1"/>
  <c r="D457" i="1"/>
  <c r="E457" i="1"/>
  <c r="F457" i="1"/>
  <c r="H457" i="1"/>
  <c r="I457" i="1"/>
  <c r="J457" i="1"/>
  <c r="K457" i="1"/>
  <c r="L457" i="1"/>
  <c r="M457" i="1"/>
  <c r="N457" i="1"/>
  <c r="O457" i="1"/>
  <c r="Q457" i="1"/>
  <c r="A458" i="1"/>
  <c r="B458" i="1"/>
  <c r="C458" i="1"/>
  <c r="D458" i="1"/>
  <c r="E458" i="1"/>
  <c r="F458" i="1"/>
  <c r="H458" i="1"/>
  <c r="I458" i="1"/>
  <c r="J458" i="1"/>
  <c r="K458" i="1"/>
  <c r="L458" i="1"/>
  <c r="M458" i="1"/>
  <c r="N458" i="1"/>
  <c r="O458" i="1"/>
  <c r="Q458" i="1"/>
  <c r="A459" i="1"/>
  <c r="B459" i="1"/>
  <c r="C459" i="1"/>
  <c r="D459" i="1"/>
  <c r="E459" i="1"/>
  <c r="F459" i="1"/>
  <c r="H459" i="1"/>
  <c r="I459" i="1"/>
  <c r="J459" i="1"/>
  <c r="K459" i="1"/>
  <c r="L459" i="1"/>
  <c r="M459" i="1"/>
  <c r="N459" i="1"/>
  <c r="O459" i="1"/>
  <c r="Q459" i="1"/>
  <c r="A460" i="1"/>
  <c r="B460" i="1"/>
  <c r="C460" i="1"/>
  <c r="D460" i="1"/>
  <c r="E460" i="1"/>
  <c r="F460" i="1"/>
  <c r="H460" i="1"/>
  <c r="I460" i="1"/>
  <c r="J460" i="1"/>
  <c r="K460" i="1"/>
  <c r="L460" i="1"/>
  <c r="M460" i="1"/>
  <c r="N460" i="1"/>
  <c r="O460" i="1"/>
  <c r="Q460" i="1"/>
  <c r="A461" i="1"/>
  <c r="B461" i="1"/>
  <c r="C461" i="1"/>
  <c r="D461" i="1"/>
  <c r="E461" i="1"/>
  <c r="F461" i="1"/>
  <c r="H461" i="1"/>
  <c r="I461" i="1"/>
  <c r="J461" i="1"/>
  <c r="K461" i="1"/>
  <c r="L461" i="1"/>
  <c r="M461" i="1"/>
  <c r="N461" i="1"/>
  <c r="O461" i="1"/>
  <c r="Q461" i="1"/>
  <c r="A462" i="1"/>
  <c r="B462" i="1"/>
  <c r="C462" i="1"/>
  <c r="D462" i="1"/>
  <c r="E462" i="1"/>
  <c r="F462" i="1"/>
  <c r="H462" i="1"/>
  <c r="I462" i="1"/>
  <c r="J462" i="1"/>
  <c r="K462" i="1"/>
  <c r="L462" i="1"/>
  <c r="M462" i="1"/>
  <c r="N462" i="1"/>
  <c r="O462" i="1"/>
  <c r="Q462" i="1"/>
  <c r="A463" i="1"/>
  <c r="B463" i="1"/>
  <c r="C463" i="1"/>
  <c r="D463" i="1"/>
  <c r="E463" i="1"/>
  <c r="F463" i="1"/>
  <c r="H463" i="1"/>
  <c r="I463" i="1"/>
  <c r="J463" i="1"/>
  <c r="K463" i="1"/>
  <c r="L463" i="1"/>
  <c r="M463" i="1"/>
  <c r="N463" i="1"/>
  <c r="O463" i="1"/>
  <c r="Q463" i="1"/>
  <c r="A464" i="1"/>
  <c r="B464" i="1"/>
  <c r="C464" i="1"/>
  <c r="D464" i="1"/>
  <c r="E464" i="1"/>
  <c r="F464" i="1"/>
  <c r="H464" i="1"/>
  <c r="I464" i="1"/>
  <c r="J464" i="1"/>
  <c r="K464" i="1"/>
  <c r="L464" i="1"/>
  <c r="M464" i="1"/>
  <c r="N464" i="1"/>
  <c r="O464" i="1"/>
  <c r="Q464" i="1"/>
  <c r="A465" i="1"/>
  <c r="B465" i="1"/>
  <c r="C465" i="1"/>
  <c r="D465" i="1"/>
  <c r="E465" i="1"/>
  <c r="F465" i="1"/>
  <c r="H465" i="1"/>
  <c r="I465" i="1"/>
  <c r="J465" i="1"/>
  <c r="K465" i="1"/>
  <c r="L465" i="1"/>
  <c r="M465" i="1"/>
  <c r="N465" i="1"/>
  <c r="O465" i="1"/>
  <c r="Q465" i="1"/>
  <c r="A466" i="1"/>
  <c r="B466" i="1"/>
  <c r="C466" i="1"/>
  <c r="D466" i="1"/>
  <c r="E466" i="1"/>
  <c r="F466" i="1"/>
  <c r="H466" i="1"/>
  <c r="I466" i="1"/>
  <c r="J466" i="1"/>
  <c r="K466" i="1"/>
  <c r="L466" i="1"/>
  <c r="M466" i="1"/>
  <c r="N466" i="1"/>
  <c r="O466" i="1"/>
  <c r="Q466" i="1"/>
  <c r="A467" i="1"/>
  <c r="B467" i="1"/>
  <c r="C467" i="1"/>
  <c r="D467" i="1"/>
  <c r="E467" i="1"/>
  <c r="F467" i="1"/>
  <c r="H467" i="1"/>
  <c r="I467" i="1"/>
  <c r="J467" i="1"/>
  <c r="K467" i="1"/>
  <c r="L467" i="1"/>
  <c r="M467" i="1"/>
  <c r="N467" i="1"/>
  <c r="O467" i="1"/>
  <c r="Q467" i="1"/>
  <c r="A468" i="1"/>
  <c r="B468" i="1"/>
  <c r="C468" i="1"/>
  <c r="D468" i="1"/>
  <c r="E468" i="1"/>
  <c r="F468" i="1"/>
  <c r="H468" i="1"/>
  <c r="I468" i="1"/>
  <c r="J468" i="1"/>
  <c r="K468" i="1"/>
  <c r="L468" i="1"/>
  <c r="M468" i="1"/>
  <c r="N468" i="1"/>
  <c r="O468" i="1"/>
  <c r="Q468" i="1"/>
  <c r="A469" i="1"/>
  <c r="B469" i="1"/>
  <c r="C469" i="1"/>
  <c r="D469" i="1"/>
  <c r="E469" i="1"/>
  <c r="F469" i="1"/>
  <c r="H469" i="1"/>
  <c r="I469" i="1"/>
  <c r="J469" i="1"/>
  <c r="K469" i="1"/>
  <c r="L469" i="1"/>
  <c r="M469" i="1"/>
  <c r="N469" i="1"/>
  <c r="O469" i="1"/>
  <c r="Q469" i="1"/>
  <c r="A470" i="1"/>
  <c r="B470" i="1"/>
  <c r="C470" i="1"/>
  <c r="D470" i="1"/>
  <c r="E470" i="1"/>
  <c r="F470" i="1"/>
  <c r="H470" i="1"/>
  <c r="I470" i="1"/>
  <c r="J470" i="1"/>
  <c r="K470" i="1"/>
  <c r="L470" i="1"/>
  <c r="M470" i="1"/>
  <c r="N470" i="1"/>
  <c r="O470" i="1"/>
  <c r="Q470" i="1"/>
  <c r="A471" i="1"/>
  <c r="B471" i="1"/>
  <c r="C471" i="1"/>
  <c r="D471" i="1"/>
  <c r="E471" i="1"/>
  <c r="F471" i="1"/>
  <c r="H471" i="1"/>
  <c r="I471" i="1"/>
  <c r="J471" i="1"/>
  <c r="K471" i="1"/>
  <c r="L471" i="1"/>
  <c r="M471" i="1"/>
  <c r="N471" i="1"/>
  <c r="O471" i="1"/>
  <c r="Q471" i="1"/>
  <c r="A472" i="1"/>
  <c r="B472" i="1"/>
  <c r="C472" i="1"/>
  <c r="D472" i="1"/>
  <c r="E472" i="1"/>
  <c r="F472" i="1"/>
  <c r="H472" i="1"/>
  <c r="I472" i="1"/>
  <c r="J472" i="1"/>
  <c r="K472" i="1"/>
  <c r="L472" i="1"/>
  <c r="M472" i="1"/>
  <c r="N472" i="1"/>
  <c r="O472" i="1"/>
  <c r="Q472" i="1"/>
  <c r="A473" i="1"/>
  <c r="B473" i="1"/>
  <c r="C473" i="1"/>
  <c r="D473" i="1"/>
  <c r="E473" i="1"/>
  <c r="F473" i="1"/>
  <c r="H473" i="1"/>
  <c r="I473" i="1"/>
  <c r="J473" i="1"/>
  <c r="K473" i="1"/>
  <c r="L473" i="1"/>
  <c r="M473" i="1"/>
  <c r="N473" i="1"/>
  <c r="O473" i="1"/>
  <c r="Q473" i="1"/>
  <c r="A474" i="1"/>
  <c r="B474" i="1"/>
  <c r="C474" i="1"/>
  <c r="D474" i="1"/>
  <c r="E474" i="1"/>
  <c r="F474" i="1"/>
  <c r="H474" i="1"/>
  <c r="I474" i="1"/>
  <c r="J474" i="1"/>
  <c r="K474" i="1"/>
  <c r="L474" i="1"/>
  <c r="M474" i="1"/>
  <c r="N474" i="1"/>
  <c r="O474" i="1"/>
  <c r="Q474" i="1"/>
  <c r="A475" i="1"/>
  <c r="B475" i="1"/>
  <c r="C475" i="1"/>
  <c r="D475" i="1"/>
  <c r="E475" i="1"/>
  <c r="F475" i="1"/>
  <c r="H475" i="1"/>
  <c r="I475" i="1"/>
  <c r="J475" i="1"/>
  <c r="K475" i="1"/>
  <c r="L475" i="1"/>
  <c r="M475" i="1"/>
  <c r="N475" i="1"/>
  <c r="O475" i="1"/>
  <c r="Q475" i="1"/>
  <c r="A476" i="1"/>
  <c r="B476" i="1"/>
  <c r="C476" i="1"/>
  <c r="D476" i="1"/>
  <c r="E476" i="1"/>
  <c r="F476" i="1"/>
  <c r="H476" i="1"/>
  <c r="I476" i="1"/>
  <c r="J476" i="1"/>
  <c r="K476" i="1"/>
  <c r="L476" i="1"/>
  <c r="M476" i="1"/>
  <c r="N476" i="1"/>
  <c r="O476" i="1"/>
  <c r="Q476" i="1"/>
  <c r="A477" i="1"/>
  <c r="B477" i="1"/>
  <c r="C477" i="1"/>
  <c r="D477" i="1"/>
  <c r="E477" i="1"/>
  <c r="F477" i="1"/>
  <c r="H477" i="1"/>
  <c r="I477" i="1"/>
  <c r="J477" i="1"/>
  <c r="K477" i="1"/>
  <c r="L477" i="1"/>
  <c r="M477" i="1"/>
  <c r="N477" i="1"/>
  <c r="O477" i="1"/>
  <c r="Q477" i="1"/>
  <c r="A478" i="1"/>
  <c r="B478" i="1"/>
  <c r="C478" i="1"/>
  <c r="D478" i="1"/>
  <c r="E478" i="1"/>
  <c r="F478" i="1"/>
  <c r="H478" i="1"/>
  <c r="I478" i="1"/>
  <c r="J478" i="1"/>
  <c r="K478" i="1"/>
  <c r="L478" i="1"/>
  <c r="M478" i="1"/>
  <c r="N478" i="1"/>
  <c r="O478" i="1"/>
  <c r="Q478" i="1"/>
  <c r="A479" i="1"/>
  <c r="B479" i="1"/>
  <c r="C479" i="1"/>
  <c r="D479" i="1"/>
  <c r="E479" i="1"/>
  <c r="F479" i="1"/>
  <c r="H479" i="1"/>
  <c r="I479" i="1"/>
  <c r="J479" i="1"/>
  <c r="K479" i="1"/>
  <c r="L479" i="1"/>
  <c r="M479" i="1"/>
  <c r="N479" i="1"/>
  <c r="O479" i="1"/>
  <c r="Q479" i="1"/>
  <c r="A480" i="1"/>
  <c r="B480" i="1"/>
  <c r="C480" i="1"/>
  <c r="D480" i="1"/>
  <c r="E480" i="1"/>
  <c r="F480" i="1"/>
  <c r="H480" i="1"/>
  <c r="I480" i="1"/>
  <c r="J480" i="1"/>
  <c r="K480" i="1"/>
  <c r="L480" i="1"/>
  <c r="M480" i="1"/>
  <c r="N480" i="1"/>
  <c r="O480" i="1"/>
  <c r="Q480" i="1"/>
  <c r="A481" i="1"/>
  <c r="B481" i="1"/>
  <c r="C481" i="1"/>
  <c r="D481" i="1"/>
  <c r="E481" i="1"/>
  <c r="F481" i="1"/>
  <c r="H481" i="1"/>
  <c r="I481" i="1"/>
  <c r="J481" i="1"/>
  <c r="K481" i="1"/>
  <c r="L481" i="1"/>
  <c r="M481" i="1"/>
  <c r="N481" i="1"/>
  <c r="O481" i="1"/>
  <c r="Q481" i="1"/>
  <c r="A482" i="1"/>
  <c r="B482" i="1"/>
  <c r="C482" i="1"/>
  <c r="D482" i="1"/>
  <c r="E482" i="1"/>
  <c r="F482" i="1"/>
  <c r="H482" i="1"/>
  <c r="I482" i="1"/>
  <c r="J482" i="1"/>
  <c r="K482" i="1"/>
  <c r="L482" i="1"/>
  <c r="M482" i="1"/>
  <c r="N482" i="1"/>
  <c r="O482" i="1"/>
  <c r="Q482" i="1"/>
  <c r="A483" i="1"/>
  <c r="B483" i="1"/>
  <c r="C483" i="1"/>
  <c r="D483" i="1"/>
  <c r="E483" i="1"/>
  <c r="F483" i="1"/>
  <c r="H483" i="1"/>
  <c r="I483" i="1"/>
  <c r="J483" i="1"/>
  <c r="K483" i="1"/>
  <c r="L483" i="1"/>
  <c r="M483" i="1"/>
  <c r="N483" i="1"/>
  <c r="O483" i="1"/>
  <c r="Q483" i="1"/>
  <c r="A484" i="1"/>
  <c r="B484" i="1"/>
  <c r="C484" i="1"/>
  <c r="D484" i="1"/>
  <c r="E484" i="1"/>
  <c r="F484" i="1"/>
  <c r="H484" i="1"/>
  <c r="I484" i="1"/>
  <c r="J484" i="1"/>
  <c r="K484" i="1"/>
  <c r="L484" i="1"/>
  <c r="M484" i="1"/>
  <c r="N484" i="1"/>
  <c r="O484" i="1"/>
  <c r="Q484" i="1"/>
  <c r="A485" i="1"/>
  <c r="B485" i="1"/>
  <c r="C485" i="1"/>
  <c r="D485" i="1"/>
  <c r="E485" i="1"/>
  <c r="F485" i="1"/>
  <c r="H485" i="1"/>
  <c r="I485" i="1"/>
  <c r="J485" i="1"/>
  <c r="K485" i="1"/>
  <c r="L485" i="1"/>
  <c r="M485" i="1"/>
  <c r="N485" i="1"/>
  <c r="O485" i="1"/>
  <c r="Q485" i="1"/>
  <c r="A486" i="1"/>
  <c r="B486" i="1"/>
  <c r="C486" i="1"/>
  <c r="D486" i="1"/>
  <c r="E486" i="1"/>
  <c r="F486" i="1"/>
  <c r="H486" i="1"/>
  <c r="I486" i="1"/>
  <c r="J486" i="1"/>
  <c r="K486" i="1"/>
  <c r="L486" i="1"/>
  <c r="M486" i="1"/>
  <c r="N486" i="1"/>
  <c r="O486" i="1"/>
  <c r="Q486" i="1"/>
  <c r="A487" i="1"/>
  <c r="B487" i="1"/>
  <c r="C487" i="1"/>
  <c r="D487" i="1"/>
  <c r="E487" i="1"/>
  <c r="F487" i="1"/>
  <c r="H487" i="1"/>
  <c r="I487" i="1"/>
  <c r="J487" i="1"/>
  <c r="K487" i="1"/>
  <c r="L487" i="1"/>
  <c r="M487" i="1"/>
  <c r="N487" i="1"/>
  <c r="O487" i="1"/>
  <c r="Q487" i="1"/>
  <c r="A488" i="1"/>
  <c r="B488" i="1"/>
  <c r="C488" i="1"/>
  <c r="D488" i="1"/>
  <c r="E488" i="1"/>
  <c r="F488" i="1"/>
  <c r="H488" i="1"/>
  <c r="I488" i="1"/>
  <c r="J488" i="1"/>
  <c r="K488" i="1"/>
  <c r="L488" i="1"/>
  <c r="M488" i="1"/>
  <c r="N488" i="1"/>
  <c r="O488" i="1"/>
  <c r="Q488" i="1"/>
  <c r="A489" i="1"/>
  <c r="B489" i="1"/>
  <c r="C489" i="1"/>
  <c r="D489" i="1"/>
  <c r="E489" i="1"/>
  <c r="F489" i="1"/>
  <c r="H489" i="1"/>
  <c r="I489" i="1"/>
  <c r="J489" i="1"/>
  <c r="K489" i="1"/>
  <c r="L489" i="1"/>
  <c r="M489" i="1"/>
  <c r="N489" i="1"/>
  <c r="O489" i="1"/>
  <c r="Q489" i="1"/>
  <c r="A490" i="1"/>
  <c r="B490" i="1"/>
  <c r="C490" i="1"/>
  <c r="D490" i="1"/>
  <c r="E490" i="1"/>
  <c r="F490" i="1"/>
  <c r="H490" i="1"/>
  <c r="I490" i="1"/>
  <c r="J490" i="1"/>
  <c r="K490" i="1"/>
  <c r="L490" i="1"/>
  <c r="M490" i="1"/>
  <c r="N490" i="1"/>
  <c r="O490" i="1"/>
  <c r="Q490" i="1"/>
  <c r="A491" i="1"/>
  <c r="B491" i="1"/>
  <c r="C491" i="1"/>
  <c r="D491" i="1"/>
  <c r="E491" i="1"/>
  <c r="F491" i="1"/>
  <c r="H491" i="1"/>
  <c r="I491" i="1"/>
  <c r="J491" i="1"/>
  <c r="K491" i="1"/>
  <c r="L491" i="1"/>
  <c r="M491" i="1"/>
  <c r="N491" i="1"/>
  <c r="O491" i="1"/>
  <c r="Q491" i="1"/>
  <c r="A492" i="1"/>
  <c r="B492" i="1"/>
  <c r="C492" i="1"/>
  <c r="D492" i="1"/>
  <c r="E492" i="1"/>
  <c r="F492" i="1"/>
  <c r="H492" i="1"/>
  <c r="I492" i="1"/>
  <c r="J492" i="1"/>
  <c r="K492" i="1"/>
  <c r="L492" i="1"/>
  <c r="M492" i="1"/>
  <c r="N492" i="1"/>
  <c r="O492" i="1"/>
  <c r="Q492" i="1"/>
  <c r="A493" i="1"/>
  <c r="B493" i="1"/>
  <c r="C493" i="1"/>
  <c r="D493" i="1"/>
  <c r="E493" i="1"/>
  <c r="F493" i="1"/>
  <c r="H493" i="1"/>
  <c r="I493" i="1"/>
  <c r="J493" i="1"/>
  <c r="K493" i="1"/>
  <c r="L493" i="1"/>
  <c r="M493" i="1"/>
  <c r="N493" i="1"/>
  <c r="O493" i="1"/>
  <c r="Q493" i="1"/>
  <c r="A494" i="1"/>
  <c r="B494" i="1"/>
  <c r="C494" i="1"/>
  <c r="D494" i="1"/>
  <c r="E494" i="1"/>
  <c r="F494" i="1"/>
  <c r="H494" i="1"/>
  <c r="I494" i="1"/>
  <c r="J494" i="1"/>
  <c r="K494" i="1"/>
  <c r="L494" i="1"/>
  <c r="M494" i="1"/>
  <c r="N494" i="1"/>
  <c r="O494" i="1"/>
  <c r="Q494" i="1"/>
  <c r="A495" i="1"/>
  <c r="B495" i="1"/>
  <c r="C495" i="1"/>
  <c r="D495" i="1"/>
  <c r="E495" i="1"/>
  <c r="F495" i="1"/>
  <c r="H495" i="1"/>
  <c r="I495" i="1"/>
  <c r="J495" i="1"/>
  <c r="K495" i="1"/>
  <c r="L495" i="1"/>
  <c r="M495" i="1"/>
  <c r="N495" i="1"/>
  <c r="O495" i="1"/>
  <c r="Q495" i="1"/>
  <c r="A496" i="1"/>
  <c r="B496" i="1"/>
  <c r="C496" i="1"/>
  <c r="D496" i="1"/>
  <c r="E496" i="1"/>
  <c r="F496" i="1"/>
  <c r="H496" i="1"/>
  <c r="I496" i="1"/>
  <c r="J496" i="1"/>
  <c r="K496" i="1"/>
  <c r="L496" i="1"/>
  <c r="M496" i="1"/>
  <c r="N496" i="1"/>
  <c r="O496" i="1"/>
  <c r="Q496" i="1"/>
  <c r="A497" i="1"/>
  <c r="B497" i="1"/>
  <c r="C497" i="1"/>
  <c r="D497" i="1"/>
  <c r="E497" i="1"/>
  <c r="F497" i="1"/>
  <c r="H497" i="1"/>
  <c r="I497" i="1"/>
  <c r="J497" i="1"/>
  <c r="K497" i="1"/>
  <c r="L497" i="1"/>
  <c r="M497" i="1"/>
  <c r="N497" i="1"/>
  <c r="O497" i="1"/>
  <c r="Q497" i="1"/>
  <c r="A498" i="1"/>
  <c r="B498" i="1"/>
  <c r="C498" i="1"/>
  <c r="D498" i="1"/>
  <c r="E498" i="1"/>
  <c r="F498" i="1"/>
  <c r="H498" i="1"/>
  <c r="I498" i="1"/>
  <c r="J498" i="1"/>
  <c r="K498" i="1"/>
  <c r="L498" i="1"/>
  <c r="M498" i="1"/>
  <c r="N498" i="1"/>
  <c r="O498" i="1"/>
  <c r="Q498" i="1"/>
  <c r="A499" i="1"/>
  <c r="B499" i="1"/>
  <c r="C499" i="1"/>
  <c r="D499" i="1"/>
  <c r="E499" i="1"/>
  <c r="F499" i="1"/>
  <c r="H499" i="1"/>
  <c r="I499" i="1"/>
  <c r="J499" i="1"/>
  <c r="K499" i="1"/>
  <c r="L499" i="1"/>
  <c r="M499" i="1"/>
  <c r="N499" i="1"/>
  <c r="O499" i="1"/>
  <c r="Q499" i="1"/>
  <c r="A500" i="1"/>
  <c r="B500" i="1"/>
  <c r="C500" i="1"/>
  <c r="D500" i="1"/>
  <c r="E500" i="1"/>
  <c r="F500" i="1"/>
  <c r="H500" i="1"/>
  <c r="I500" i="1"/>
  <c r="J500" i="1"/>
  <c r="K500" i="1"/>
  <c r="L500" i="1"/>
  <c r="M500" i="1"/>
  <c r="N500" i="1"/>
  <c r="O500" i="1"/>
  <c r="Q500" i="1"/>
  <c r="A501" i="1"/>
  <c r="B501" i="1"/>
  <c r="C501" i="1"/>
  <c r="D501" i="1"/>
  <c r="E501" i="1"/>
  <c r="F501" i="1"/>
  <c r="H501" i="1"/>
  <c r="I501" i="1"/>
  <c r="J501" i="1"/>
  <c r="K501" i="1"/>
  <c r="L501" i="1"/>
  <c r="M501" i="1"/>
  <c r="N501" i="1"/>
  <c r="O501" i="1"/>
  <c r="Q501" i="1"/>
  <c r="A502" i="1"/>
  <c r="B502" i="1"/>
  <c r="C502" i="1"/>
  <c r="D502" i="1"/>
  <c r="E502" i="1"/>
  <c r="F502" i="1"/>
  <c r="H502" i="1"/>
  <c r="I502" i="1"/>
  <c r="J502" i="1"/>
  <c r="K502" i="1"/>
  <c r="L502" i="1"/>
  <c r="M502" i="1"/>
  <c r="N502" i="1"/>
  <c r="O502" i="1"/>
  <c r="Q502" i="1"/>
  <c r="A503" i="1"/>
  <c r="B503" i="1"/>
  <c r="C503" i="1"/>
  <c r="D503" i="1"/>
  <c r="E503" i="1"/>
  <c r="F503" i="1"/>
  <c r="H503" i="1"/>
  <c r="I503" i="1"/>
  <c r="J503" i="1"/>
  <c r="K503" i="1"/>
  <c r="L503" i="1"/>
  <c r="M503" i="1"/>
  <c r="N503" i="1"/>
  <c r="O503" i="1"/>
  <c r="Q503" i="1"/>
  <c r="A504" i="1"/>
  <c r="B504" i="1"/>
  <c r="C504" i="1"/>
  <c r="D504" i="1"/>
  <c r="E504" i="1"/>
  <c r="F504" i="1"/>
  <c r="H504" i="1"/>
  <c r="I504" i="1"/>
  <c r="J504" i="1"/>
  <c r="K504" i="1"/>
  <c r="L504" i="1"/>
  <c r="M504" i="1"/>
  <c r="N504" i="1"/>
  <c r="O504" i="1"/>
  <c r="Q504" i="1"/>
  <c r="A505" i="1"/>
  <c r="B505" i="1"/>
  <c r="C505" i="1"/>
  <c r="D505" i="1"/>
  <c r="E505" i="1"/>
  <c r="F505" i="1"/>
  <c r="H505" i="1"/>
  <c r="I505" i="1"/>
  <c r="J505" i="1"/>
  <c r="K505" i="1"/>
  <c r="L505" i="1"/>
  <c r="M505" i="1"/>
  <c r="N505" i="1"/>
  <c r="O505" i="1"/>
  <c r="Q505" i="1"/>
  <c r="A506" i="1"/>
  <c r="B506" i="1"/>
  <c r="C506" i="1"/>
  <c r="D506" i="1"/>
  <c r="E506" i="1"/>
  <c r="F506" i="1"/>
  <c r="H506" i="1"/>
  <c r="I506" i="1"/>
  <c r="J506" i="1"/>
  <c r="K506" i="1"/>
  <c r="L506" i="1"/>
  <c r="M506" i="1"/>
  <c r="N506" i="1"/>
  <c r="O506" i="1"/>
  <c r="Q506" i="1"/>
  <c r="A507" i="1"/>
  <c r="B507" i="1"/>
  <c r="C507" i="1"/>
  <c r="D507" i="1"/>
  <c r="E507" i="1"/>
  <c r="F507" i="1"/>
  <c r="H507" i="1"/>
  <c r="I507" i="1"/>
  <c r="J507" i="1"/>
  <c r="K507" i="1"/>
  <c r="L507" i="1"/>
  <c r="M507" i="1"/>
  <c r="N507" i="1"/>
  <c r="O507" i="1"/>
  <c r="Q507" i="1"/>
  <c r="A508" i="1"/>
  <c r="B508" i="1"/>
  <c r="C508" i="1"/>
  <c r="D508" i="1"/>
  <c r="E508" i="1"/>
  <c r="F508" i="1"/>
  <c r="H508" i="1"/>
  <c r="I508" i="1"/>
  <c r="J508" i="1"/>
  <c r="K508" i="1"/>
  <c r="L508" i="1"/>
  <c r="M508" i="1"/>
  <c r="N508" i="1"/>
  <c r="O508" i="1"/>
  <c r="Q508" i="1"/>
  <c r="A509" i="1"/>
  <c r="B509" i="1"/>
  <c r="C509" i="1"/>
  <c r="D509" i="1"/>
  <c r="E509" i="1"/>
  <c r="F509" i="1"/>
  <c r="H509" i="1"/>
  <c r="I509" i="1"/>
  <c r="J509" i="1"/>
  <c r="K509" i="1"/>
  <c r="L509" i="1"/>
  <c r="M509" i="1"/>
  <c r="N509" i="1"/>
  <c r="O509" i="1"/>
  <c r="Q509" i="1"/>
  <c r="A510" i="1"/>
  <c r="B510" i="1"/>
  <c r="C510" i="1"/>
  <c r="D510" i="1"/>
  <c r="E510" i="1"/>
  <c r="F510" i="1"/>
  <c r="H510" i="1"/>
  <c r="I510" i="1"/>
  <c r="J510" i="1"/>
  <c r="K510" i="1"/>
  <c r="L510" i="1"/>
  <c r="M510" i="1"/>
  <c r="N510" i="1"/>
  <c r="O510" i="1"/>
  <c r="Q510" i="1"/>
  <c r="A511" i="1"/>
  <c r="B511" i="1"/>
  <c r="C511" i="1"/>
  <c r="D511" i="1"/>
  <c r="E511" i="1"/>
  <c r="F511" i="1"/>
  <c r="H511" i="1"/>
  <c r="I511" i="1"/>
  <c r="J511" i="1"/>
  <c r="K511" i="1"/>
  <c r="L511" i="1"/>
  <c r="M511" i="1"/>
  <c r="N511" i="1"/>
  <c r="O511" i="1"/>
  <c r="Q511" i="1"/>
  <c r="A512" i="1"/>
  <c r="B512" i="1"/>
  <c r="C512" i="1"/>
  <c r="D512" i="1"/>
  <c r="E512" i="1"/>
  <c r="F512" i="1"/>
  <c r="H512" i="1"/>
  <c r="I512" i="1"/>
  <c r="J512" i="1"/>
  <c r="K512" i="1"/>
  <c r="L512" i="1"/>
  <c r="M512" i="1"/>
  <c r="N512" i="1"/>
  <c r="O512" i="1"/>
  <c r="Q512" i="1"/>
  <c r="A513" i="1"/>
  <c r="B513" i="1"/>
  <c r="C513" i="1"/>
  <c r="D513" i="1"/>
  <c r="E513" i="1"/>
  <c r="F513" i="1"/>
  <c r="H513" i="1"/>
  <c r="I513" i="1"/>
  <c r="J513" i="1"/>
  <c r="K513" i="1"/>
  <c r="L513" i="1"/>
  <c r="M513" i="1"/>
  <c r="N513" i="1"/>
  <c r="O513" i="1"/>
  <c r="Q513" i="1"/>
  <c r="A514" i="1"/>
  <c r="B514" i="1"/>
  <c r="C514" i="1"/>
  <c r="D514" i="1"/>
  <c r="E514" i="1"/>
  <c r="F514" i="1"/>
  <c r="H514" i="1"/>
  <c r="I514" i="1"/>
  <c r="J514" i="1"/>
  <c r="K514" i="1"/>
  <c r="L514" i="1"/>
  <c r="M514" i="1"/>
  <c r="N514" i="1"/>
  <c r="O514" i="1"/>
  <c r="Q514" i="1"/>
  <c r="A515" i="1"/>
  <c r="B515" i="1"/>
  <c r="C515" i="1"/>
  <c r="D515" i="1"/>
  <c r="E515" i="1"/>
  <c r="F515" i="1"/>
  <c r="H515" i="1"/>
  <c r="I515" i="1"/>
  <c r="J515" i="1"/>
  <c r="K515" i="1"/>
  <c r="L515" i="1"/>
  <c r="M515" i="1"/>
  <c r="N515" i="1"/>
  <c r="O515" i="1"/>
  <c r="Q515" i="1"/>
  <c r="A516" i="1"/>
  <c r="B516" i="1"/>
  <c r="C516" i="1"/>
  <c r="D516" i="1"/>
  <c r="E516" i="1"/>
  <c r="F516" i="1"/>
  <c r="H516" i="1"/>
  <c r="I516" i="1"/>
  <c r="J516" i="1"/>
  <c r="K516" i="1"/>
  <c r="L516" i="1"/>
  <c r="M516" i="1"/>
  <c r="N516" i="1"/>
  <c r="O516" i="1"/>
  <c r="Q516" i="1"/>
  <c r="A517" i="1"/>
  <c r="B517" i="1"/>
  <c r="C517" i="1"/>
  <c r="D517" i="1"/>
  <c r="E517" i="1"/>
  <c r="F517" i="1"/>
  <c r="H517" i="1"/>
  <c r="I517" i="1"/>
  <c r="J517" i="1"/>
  <c r="K517" i="1"/>
  <c r="L517" i="1"/>
  <c r="M517" i="1"/>
  <c r="N517" i="1"/>
  <c r="O517" i="1"/>
  <c r="Q517" i="1"/>
  <c r="A518" i="1"/>
  <c r="B518" i="1"/>
  <c r="C518" i="1"/>
  <c r="D518" i="1"/>
  <c r="E518" i="1"/>
  <c r="F518" i="1"/>
  <c r="H518" i="1"/>
  <c r="I518" i="1"/>
  <c r="J518" i="1"/>
  <c r="K518" i="1"/>
  <c r="L518" i="1"/>
  <c r="M518" i="1"/>
  <c r="N518" i="1"/>
  <c r="O518" i="1"/>
  <c r="Q518" i="1"/>
  <c r="A519" i="1"/>
  <c r="B519" i="1"/>
  <c r="C519" i="1"/>
  <c r="D519" i="1"/>
  <c r="E519" i="1"/>
  <c r="F519" i="1"/>
  <c r="H519" i="1"/>
  <c r="I519" i="1"/>
  <c r="J519" i="1"/>
  <c r="K519" i="1"/>
  <c r="L519" i="1"/>
  <c r="M519" i="1"/>
  <c r="N519" i="1"/>
  <c r="O519" i="1"/>
  <c r="Q519" i="1"/>
  <c r="A520" i="1"/>
  <c r="B520" i="1"/>
  <c r="C520" i="1"/>
  <c r="D520" i="1"/>
  <c r="E520" i="1"/>
  <c r="F520" i="1"/>
  <c r="H520" i="1"/>
  <c r="I520" i="1"/>
  <c r="J520" i="1"/>
  <c r="K520" i="1"/>
  <c r="L520" i="1"/>
  <c r="M520" i="1"/>
  <c r="N520" i="1"/>
  <c r="O520" i="1"/>
  <c r="Q520" i="1"/>
  <c r="A521" i="1"/>
  <c r="B521" i="1"/>
  <c r="C521" i="1"/>
  <c r="D521" i="1"/>
  <c r="E521" i="1"/>
  <c r="F521" i="1"/>
  <c r="H521" i="1"/>
  <c r="I521" i="1"/>
  <c r="J521" i="1"/>
  <c r="K521" i="1"/>
  <c r="L521" i="1"/>
  <c r="M521" i="1"/>
  <c r="N521" i="1"/>
  <c r="O521" i="1"/>
  <c r="Q521" i="1"/>
  <c r="A522" i="1"/>
  <c r="B522" i="1"/>
  <c r="C522" i="1"/>
  <c r="D522" i="1"/>
  <c r="E522" i="1"/>
  <c r="F522" i="1"/>
  <c r="H522" i="1"/>
  <c r="I522" i="1"/>
  <c r="J522" i="1"/>
  <c r="K522" i="1"/>
  <c r="L522" i="1"/>
  <c r="M522" i="1"/>
  <c r="N522" i="1"/>
  <c r="O522" i="1"/>
  <c r="Q522" i="1"/>
  <c r="A523" i="1"/>
  <c r="B523" i="1"/>
  <c r="C523" i="1"/>
  <c r="D523" i="1"/>
  <c r="E523" i="1"/>
  <c r="F523" i="1"/>
  <c r="H523" i="1"/>
  <c r="I523" i="1"/>
  <c r="J523" i="1"/>
  <c r="K523" i="1"/>
  <c r="L523" i="1"/>
  <c r="M523" i="1"/>
  <c r="N523" i="1"/>
  <c r="O523" i="1"/>
  <c r="Q523" i="1"/>
  <c r="A524" i="1"/>
  <c r="B524" i="1"/>
  <c r="C524" i="1"/>
  <c r="D524" i="1"/>
  <c r="E524" i="1"/>
  <c r="F524" i="1"/>
  <c r="H524" i="1"/>
  <c r="I524" i="1"/>
  <c r="J524" i="1"/>
  <c r="K524" i="1"/>
  <c r="L524" i="1"/>
  <c r="M524" i="1"/>
  <c r="N524" i="1"/>
  <c r="O524" i="1"/>
  <c r="Q524" i="1"/>
  <c r="A525" i="1"/>
  <c r="B525" i="1"/>
  <c r="C525" i="1"/>
  <c r="D525" i="1"/>
  <c r="E525" i="1"/>
  <c r="F525" i="1"/>
  <c r="H525" i="1"/>
  <c r="I525" i="1"/>
  <c r="J525" i="1"/>
  <c r="K525" i="1"/>
  <c r="L525" i="1"/>
  <c r="M525" i="1"/>
  <c r="N525" i="1"/>
  <c r="O525" i="1"/>
  <c r="Q525" i="1"/>
  <c r="A526" i="1"/>
  <c r="B526" i="1"/>
  <c r="C526" i="1"/>
  <c r="D526" i="1"/>
  <c r="E526" i="1"/>
  <c r="F526" i="1"/>
  <c r="H526" i="1"/>
  <c r="I526" i="1"/>
  <c r="J526" i="1"/>
  <c r="K526" i="1"/>
  <c r="L526" i="1"/>
  <c r="M526" i="1"/>
  <c r="N526" i="1"/>
  <c r="O526" i="1"/>
  <c r="Q526" i="1"/>
  <c r="A527" i="1"/>
  <c r="B527" i="1"/>
  <c r="C527" i="1"/>
  <c r="D527" i="1"/>
  <c r="E527" i="1"/>
  <c r="F527" i="1"/>
  <c r="H527" i="1"/>
  <c r="I527" i="1"/>
  <c r="J527" i="1"/>
  <c r="K527" i="1"/>
  <c r="L527" i="1"/>
  <c r="M527" i="1"/>
  <c r="N527" i="1"/>
  <c r="O527" i="1"/>
  <c r="Q527" i="1"/>
  <c r="A528" i="1"/>
  <c r="B528" i="1"/>
  <c r="C528" i="1"/>
  <c r="D528" i="1"/>
  <c r="E528" i="1"/>
  <c r="F528" i="1"/>
  <c r="H528" i="1"/>
  <c r="I528" i="1"/>
  <c r="J528" i="1"/>
  <c r="K528" i="1"/>
  <c r="L528" i="1"/>
  <c r="M528" i="1"/>
  <c r="N528" i="1"/>
  <c r="O528" i="1"/>
  <c r="Q528" i="1"/>
  <c r="A529" i="1"/>
  <c r="B529" i="1"/>
  <c r="C529" i="1"/>
  <c r="D529" i="1"/>
  <c r="E529" i="1"/>
  <c r="F529" i="1"/>
  <c r="H529" i="1"/>
  <c r="I529" i="1"/>
  <c r="J529" i="1"/>
  <c r="K529" i="1"/>
  <c r="L529" i="1"/>
  <c r="M529" i="1"/>
  <c r="N529" i="1"/>
  <c r="O529" i="1"/>
  <c r="Q529" i="1"/>
  <c r="A530" i="1"/>
  <c r="B530" i="1"/>
  <c r="C530" i="1"/>
  <c r="D530" i="1"/>
  <c r="E530" i="1"/>
  <c r="F530" i="1"/>
  <c r="H530" i="1"/>
  <c r="I530" i="1"/>
  <c r="J530" i="1"/>
  <c r="K530" i="1"/>
  <c r="L530" i="1"/>
  <c r="M530" i="1"/>
  <c r="N530" i="1"/>
  <c r="O530" i="1"/>
  <c r="Q530" i="1"/>
  <c r="A531" i="1"/>
  <c r="B531" i="1"/>
  <c r="C531" i="1"/>
  <c r="D531" i="1"/>
  <c r="E531" i="1"/>
  <c r="F531" i="1"/>
  <c r="H531" i="1"/>
  <c r="I531" i="1"/>
  <c r="J531" i="1"/>
  <c r="K531" i="1"/>
  <c r="L531" i="1"/>
  <c r="M531" i="1"/>
  <c r="N531" i="1"/>
  <c r="O531" i="1"/>
  <c r="Q531" i="1"/>
  <c r="A532" i="1"/>
  <c r="B532" i="1"/>
  <c r="C532" i="1"/>
  <c r="D532" i="1"/>
  <c r="E532" i="1"/>
  <c r="F532" i="1"/>
  <c r="H532" i="1"/>
  <c r="I532" i="1"/>
  <c r="J532" i="1"/>
  <c r="K532" i="1"/>
  <c r="L532" i="1"/>
  <c r="M532" i="1"/>
  <c r="N532" i="1"/>
  <c r="O532" i="1"/>
  <c r="Q532" i="1"/>
  <c r="A533" i="1"/>
  <c r="B533" i="1"/>
  <c r="C533" i="1"/>
  <c r="D533" i="1"/>
  <c r="E533" i="1"/>
  <c r="F533" i="1"/>
  <c r="H533" i="1"/>
  <c r="I533" i="1"/>
  <c r="J533" i="1"/>
  <c r="K533" i="1"/>
  <c r="L533" i="1"/>
  <c r="M533" i="1"/>
  <c r="N533" i="1"/>
  <c r="O533" i="1"/>
  <c r="Q533" i="1"/>
  <c r="A534" i="1"/>
  <c r="B534" i="1"/>
  <c r="C534" i="1"/>
  <c r="D534" i="1"/>
  <c r="E534" i="1"/>
  <c r="F534" i="1"/>
  <c r="H534" i="1"/>
  <c r="I534" i="1"/>
  <c r="J534" i="1"/>
  <c r="K534" i="1"/>
  <c r="L534" i="1"/>
  <c r="M534" i="1"/>
  <c r="N534" i="1"/>
  <c r="O534" i="1"/>
  <c r="Q534" i="1"/>
  <c r="A535" i="1"/>
  <c r="B535" i="1"/>
  <c r="C535" i="1"/>
  <c r="D535" i="1"/>
  <c r="E535" i="1"/>
  <c r="F535" i="1"/>
  <c r="H535" i="1"/>
  <c r="I535" i="1"/>
  <c r="J535" i="1"/>
  <c r="K535" i="1"/>
  <c r="L535" i="1"/>
  <c r="M535" i="1"/>
  <c r="N535" i="1"/>
  <c r="O535" i="1"/>
  <c r="Q535" i="1"/>
  <c r="A536" i="1"/>
  <c r="B536" i="1"/>
  <c r="C536" i="1"/>
  <c r="D536" i="1"/>
  <c r="E536" i="1"/>
  <c r="F536" i="1"/>
  <c r="H536" i="1"/>
  <c r="I536" i="1"/>
  <c r="J536" i="1"/>
  <c r="K536" i="1"/>
  <c r="L536" i="1"/>
  <c r="M536" i="1"/>
  <c r="N536" i="1"/>
  <c r="O536" i="1"/>
  <c r="Q536" i="1"/>
  <c r="A537" i="1"/>
  <c r="B537" i="1"/>
  <c r="C537" i="1"/>
  <c r="D537" i="1"/>
  <c r="E537" i="1"/>
  <c r="F537" i="1"/>
  <c r="H537" i="1"/>
  <c r="I537" i="1"/>
  <c r="J537" i="1"/>
  <c r="K537" i="1"/>
  <c r="L537" i="1"/>
  <c r="M537" i="1"/>
  <c r="N537" i="1"/>
  <c r="O537" i="1"/>
  <c r="Q537" i="1"/>
  <c r="A538" i="1"/>
  <c r="B538" i="1"/>
  <c r="C538" i="1"/>
  <c r="D538" i="1"/>
  <c r="E538" i="1"/>
  <c r="F538" i="1"/>
  <c r="H538" i="1"/>
  <c r="I538" i="1"/>
  <c r="J538" i="1"/>
  <c r="K538" i="1"/>
  <c r="L538" i="1"/>
  <c r="M538" i="1"/>
  <c r="N538" i="1"/>
  <c r="O538" i="1"/>
  <c r="Q538" i="1"/>
  <c r="A539" i="1"/>
  <c r="B539" i="1"/>
  <c r="C539" i="1"/>
  <c r="D539" i="1"/>
  <c r="E539" i="1"/>
  <c r="F539" i="1"/>
  <c r="H539" i="1"/>
  <c r="I539" i="1"/>
  <c r="J539" i="1"/>
  <c r="K539" i="1"/>
  <c r="L539" i="1"/>
  <c r="M539" i="1"/>
  <c r="N539" i="1"/>
  <c r="O539" i="1"/>
  <c r="Q539" i="1"/>
  <c r="A540" i="1"/>
  <c r="B540" i="1"/>
  <c r="C540" i="1"/>
  <c r="D540" i="1"/>
  <c r="E540" i="1"/>
  <c r="F540" i="1"/>
  <c r="H540" i="1"/>
  <c r="I540" i="1"/>
  <c r="J540" i="1"/>
  <c r="K540" i="1"/>
  <c r="L540" i="1"/>
  <c r="M540" i="1"/>
  <c r="N540" i="1"/>
  <c r="O540" i="1"/>
  <c r="Q540" i="1"/>
  <c r="A541" i="1"/>
  <c r="B541" i="1"/>
  <c r="C541" i="1"/>
  <c r="D541" i="1"/>
  <c r="E541" i="1"/>
  <c r="F541" i="1"/>
  <c r="H541" i="1"/>
  <c r="I541" i="1"/>
  <c r="J541" i="1"/>
  <c r="K541" i="1"/>
  <c r="L541" i="1"/>
  <c r="M541" i="1"/>
  <c r="N541" i="1"/>
  <c r="O541" i="1"/>
  <c r="Q541" i="1"/>
  <c r="A542" i="1"/>
  <c r="B542" i="1"/>
  <c r="C542" i="1"/>
  <c r="D542" i="1"/>
  <c r="E542" i="1"/>
  <c r="F542" i="1"/>
  <c r="H542" i="1"/>
  <c r="I542" i="1"/>
  <c r="J542" i="1"/>
  <c r="K542" i="1"/>
  <c r="L542" i="1"/>
  <c r="M542" i="1"/>
  <c r="N542" i="1"/>
  <c r="O542" i="1"/>
  <c r="Q542" i="1"/>
  <c r="A543" i="1"/>
  <c r="B543" i="1"/>
  <c r="C543" i="1"/>
  <c r="D543" i="1"/>
  <c r="E543" i="1"/>
  <c r="F543" i="1"/>
  <c r="H543" i="1"/>
  <c r="I543" i="1"/>
  <c r="J543" i="1"/>
  <c r="K543" i="1"/>
  <c r="L543" i="1"/>
  <c r="M543" i="1"/>
  <c r="N543" i="1"/>
  <c r="O543" i="1"/>
  <c r="Q543" i="1"/>
  <c r="A544" i="1"/>
  <c r="B544" i="1"/>
  <c r="C544" i="1"/>
  <c r="D544" i="1"/>
  <c r="E544" i="1"/>
  <c r="F544" i="1"/>
  <c r="H544" i="1"/>
  <c r="I544" i="1"/>
  <c r="J544" i="1"/>
  <c r="K544" i="1"/>
  <c r="L544" i="1"/>
  <c r="M544" i="1"/>
  <c r="N544" i="1"/>
  <c r="O544" i="1"/>
  <c r="Q544" i="1"/>
  <c r="A545" i="1"/>
  <c r="B545" i="1"/>
  <c r="C545" i="1"/>
  <c r="D545" i="1"/>
  <c r="E545" i="1"/>
  <c r="F545" i="1"/>
  <c r="H545" i="1"/>
  <c r="I545" i="1"/>
  <c r="J545" i="1"/>
  <c r="K545" i="1"/>
  <c r="L545" i="1"/>
  <c r="M545" i="1"/>
  <c r="N545" i="1"/>
  <c r="O545" i="1"/>
  <c r="Q545" i="1"/>
  <c r="A546" i="1"/>
  <c r="B546" i="1"/>
  <c r="C546" i="1"/>
  <c r="D546" i="1"/>
  <c r="E546" i="1"/>
  <c r="F546" i="1"/>
  <c r="H546" i="1"/>
  <c r="I546" i="1"/>
  <c r="J546" i="1"/>
  <c r="K546" i="1"/>
  <c r="L546" i="1"/>
  <c r="M546" i="1"/>
  <c r="N546" i="1"/>
  <c r="O546" i="1"/>
  <c r="Q546" i="1"/>
  <c r="A547" i="1"/>
  <c r="B547" i="1"/>
  <c r="C547" i="1"/>
  <c r="D547" i="1"/>
  <c r="E547" i="1"/>
  <c r="F547" i="1"/>
  <c r="H547" i="1"/>
  <c r="I547" i="1"/>
  <c r="J547" i="1"/>
  <c r="K547" i="1"/>
  <c r="L547" i="1"/>
  <c r="M547" i="1"/>
  <c r="N547" i="1"/>
  <c r="O547" i="1"/>
  <c r="Q547" i="1"/>
  <c r="A548" i="1"/>
  <c r="B548" i="1"/>
  <c r="C548" i="1"/>
  <c r="D548" i="1"/>
  <c r="E548" i="1"/>
  <c r="F548" i="1"/>
  <c r="H548" i="1"/>
  <c r="I548" i="1"/>
  <c r="J548" i="1"/>
  <c r="K548" i="1"/>
  <c r="L548" i="1"/>
  <c r="M548" i="1"/>
  <c r="N548" i="1"/>
  <c r="O548" i="1"/>
  <c r="Q548" i="1"/>
  <c r="A549" i="1"/>
  <c r="B549" i="1"/>
  <c r="C549" i="1"/>
  <c r="D549" i="1"/>
  <c r="E549" i="1"/>
  <c r="F549" i="1"/>
  <c r="H549" i="1"/>
  <c r="I549" i="1"/>
  <c r="J549" i="1"/>
  <c r="K549" i="1"/>
  <c r="L549" i="1"/>
  <c r="M549" i="1"/>
  <c r="N549" i="1"/>
  <c r="O549" i="1"/>
  <c r="Q549" i="1"/>
  <c r="A550" i="1"/>
  <c r="B550" i="1"/>
  <c r="C550" i="1"/>
  <c r="D550" i="1"/>
  <c r="E550" i="1"/>
  <c r="F550" i="1"/>
  <c r="H550" i="1"/>
  <c r="I550" i="1"/>
  <c r="J550" i="1"/>
  <c r="K550" i="1"/>
  <c r="L550" i="1"/>
  <c r="M550" i="1"/>
  <c r="N550" i="1"/>
  <c r="O550" i="1"/>
  <c r="Q550" i="1"/>
  <c r="A551" i="1"/>
  <c r="B551" i="1"/>
  <c r="C551" i="1"/>
  <c r="D551" i="1"/>
  <c r="E551" i="1"/>
  <c r="F551" i="1"/>
  <c r="H551" i="1"/>
  <c r="I551" i="1"/>
  <c r="J551" i="1"/>
  <c r="K551" i="1"/>
  <c r="L551" i="1"/>
  <c r="M551" i="1"/>
  <c r="N551" i="1"/>
  <c r="O551" i="1"/>
  <c r="Q551" i="1"/>
  <c r="A552" i="1"/>
  <c r="B552" i="1"/>
  <c r="C552" i="1"/>
  <c r="D552" i="1"/>
  <c r="E552" i="1"/>
  <c r="F552" i="1"/>
  <c r="H552" i="1"/>
  <c r="I552" i="1"/>
  <c r="J552" i="1"/>
  <c r="K552" i="1"/>
  <c r="L552" i="1"/>
  <c r="M552" i="1"/>
  <c r="N552" i="1"/>
  <c r="O552" i="1"/>
  <c r="Q552" i="1"/>
  <c r="A553" i="1"/>
  <c r="B553" i="1"/>
  <c r="C553" i="1"/>
  <c r="D553" i="1"/>
  <c r="E553" i="1"/>
  <c r="F553" i="1"/>
  <c r="H553" i="1"/>
  <c r="I553" i="1"/>
  <c r="J553" i="1"/>
  <c r="K553" i="1"/>
  <c r="L553" i="1"/>
  <c r="M553" i="1"/>
  <c r="N553" i="1"/>
  <c r="O553" i="1"/>
  <c r="Q553" i="1"/>
  <c r="A554" i="1"/>
  <c r="B554" i="1"/>
  <c r="C554" i="1"/>
  <c r="D554" i="1"/>
  <c r="E554" i="1"/>
  <c r="F554" i="1"/>
  <c r="H554" i="1"/>
  <c r="I554" i="1"/>
  <c r="J554" i="1"/>
  <c r="K554" i="1"/>
  <c r="L554" i="1"/>
  <c r="M554" i="1"/>
  <c r="N554" i="1"/>
  <c r="O554" i="1"/>
  <c r="Q554" i="1"/>
  <c r="A555" i="1"/>
  <c r="B555" i="1"/>
  <c r="C555" i="1"/>
  <c r="D555" i="1"/>
  <c r="E555" i="1"/>
  <c r="F555" i="1"/>
  <c r="H555" i="1"/>
  <c r="I555" i="1"/>
  <c r="J555" i="1"/>
  <c r="K555" i="1"/>
  <c r="L555" i="1"/>
  <c r="M555" i="1"/>
  <c r="N555" i="1"/>
  <c r="O555" i="1"/>
  <c r="Q555" i="1"/>
  <c r="A556" i="1"/>
  <c r="B556" i="1"/>
  <c r="C556" i="1"/>
  <c r="D556" i="1"/>
  <c r="E556" i="1"/>
  <c r="F556" i="1"/>
  <c r="H556" i="1"/>
  <c r="I556" i="1"/>
  <c r="J556" i="1"/>
  <c r="K556" i="1"/>
  <c r="L556" i="1"/>
  <c r="M556" i="1"/>
  <c r="N556" i="1"/>
  <c r="O556" i="1"/>
  <c r="Q556" i="1"/>
  <c r="A557" i="1"/>
  <c r="B557" i="1"/>
  <c r="C557" i="1"/>
  <c r="D557" i="1"/>
  <c r="E557" i="1"/>
  <c r="F557" i="1"/>
  <c r="H557" i="1"/>
  <c r="I557" i="1"/>
  <c r="J557" i="1"/>
  <c r="K557" i="1"/>
  <c r="L557" i="1"/>
  <c r="M557" i="1"/>
  <c r="N557" i="1"/>
  <c r="O557" i="1"/>
  <c r="Q557" i="1"/>
  <c r="A558" i="1"/>
  <c r="B558" i="1"/>
  <c r="C558" i="1"/>
  <c r="D558" i="1"/>
  <c r="E558" i="1"/>
  <c r="F558" i="1"/>
  <c r="H558" i="1"/>
  <c r="I558" i="1"/>
  <c r="J558" i="1"/>
  <c r="K558" i="1"/>
  <c r="L558" i="1"/>
  <c r="M558" i="1"/>
  <c r="N558" i="1"/>
  <c r="O558" i="1"/>
  <c r="Q558" i="1"/>
  <c r="A559" i="1"/>
  <c r="B559" i="1"/>
  <c r="C559" i="1"/>
  <c r="D559" i="1"/>
  <c r="E559" i="1"/>
  <c r="F559" i="1"/>
  <c r="H559" i="1"/>
  <c r="I559" i="1"/>
  <c r="J559" i="1"/>
  <c r="K559" i="1"/>
  <c r="L559" i="1"/>
  <c r="M559" i="1"/>
  <c r="N559" i="1"/>
  <c r="O559" i="1"/>
  <c r="Q559" i="1"/>
  <c r="A560" i="1"/>
  <c r="B560" i="1"/>
  <c r="C560" i="1"/>
  <c r="D560" i="1"/>
  <c r="E560" i="1"/>
  <c r="F560" i="1"/>
  <c r="H560" i="1"/>
  <c r="I560" i="1"/>
  <c r="J560" i="1"/>
  <c r="K560" i="1"/>
  <c r="L560" i="1"/>
  <c r="M560" i="1"/>
  <c r="N560" i="1"/>
  <c r="O560" i="1"/>
  <c r="Q560" i="1"/>
  <c r="A561" i="1"/>
  <c r="B561" i="1"/>
  <c r="C561" i="1"/>
  <c r="D561" i="1"/>
  <c r="E561" i="1"/>
  <c r="F561" i="1"/>
  <c r="H561" i="1"/>
  <c r="I561" i="1"/>
  <c r="J561" i="1"/>
  <c r="K561" i="1"/>
  <c r="L561" i="1"/>
  <c r="M561" i="1"/>
  <c r="N561" i="1"/>
  <c r="O561" i="1"/>
  <c r="Q561" i="1"/>
  <c r="A562" i="1"/>
  <c r="B562" i="1"/>
  <c r="C562" i="1"/>
  <c r="D562" i="1"/>
  <c r="E562" i="1"/>
  <c r="F562" i="1"/>
  <c r="H562" i="1"/>
  <c r="I562" i="1"/>
  <c r="J562" i="1"/>
  <c r="K562" i="1"/>
  <c r="L562" i="1"/>
  <c r="M562" i="1"/>
  <c r="N562" i="1"/>
  <c r="O562" i="1"/>
  <c r="Q562" i="1"/>
  <c r="A563" i="1"/>
  <c r="B563" i="1"/>
  <c r="C563" i="1"/>
  <c r="D563" i="1"/>
  <c r="E563" i="1"/>
  <c r="F563" i="1"/>
  <c r="H563" i="1"/>
  <c r="I563" i="1"/>
  <c r="J563" i="1"/>
  <c r="K563" i="1"/>
  <c r="L563" i="1"/>
  <c r="M563" i="1"/>
  <c r="N563" i="1"/>
  <c r="O563" i="1"/>
  <c r="Q563" i="1"/>
  <c r="A564" i="1"/>
  <c r="B564" i="1"/>
  <c r="C564" i="1"/>
  <c r="D564" i="1"/>
  <c r="E564" i="1"/>
  <c r="F564" i="1"/>
  <c r="H564" i="1"/>
  <c r="I564" i="1"/>
  <c r="J564" i="1"/>
  <c r="K564" i="1"/>
  <c r="L564" i="1"/>
  <c r="M564" i="1"/>
  <c r="N564" i="1"/>
  <c r="O564" i="1"/>
  <c r="Q564" i="1"/>
  <c r="A565" i="1"/>
  <c r="B565" i="1"/>
  <c r="C565" i="1"/>
  <c r="D565" i="1"/>
  <c r="E565" i="1"/>
  <c r="F565" i="1"/>
  <c r="H565" i="1"/>
  <c r="I565" i="1"/>
  <c r="J565" i="1"/>
  <c r="K565" i="1"/>
  <c r="L565" i="1"/>
  <c r="M565" i="1"/>
  <c r="N565" i="1"/>
  <c r="O565" i="1"/>
  <c r="Q565" i="1"/>
  <c r="A566" i="1"/>
  <c r="B566" i="1"/>
  <c r="C566" i="1"/>
  <c r="D566" i="1"/>
  <c r="E566" i="1"/>
  <c r="F566" i="1"/>
  <c r="H566" i="1"/>
  <c r="I566" i="1"/>
  <c r="J566" i="1"/>
  <c r="K566" i="1"/>
  <c r="L566" i="1"/>
  <c r="M566" i="1"/>
  <c r="N566" i="1"/>
  <c r="O566" i="1"/>
  <c r="Q566" i="1"/>
  <c r="A567" i="1"/>
  <c r="B567" i="1"/>
  <c r="C567" i="1"/>
  <c r="D567" i="1"/>
  <c r="E567" i="1"/>
  <c r="F567" i="1"/>
  <c r="H567" i="1"/>
  <c r="I567" i="1"/>
  <c r="J567" i="1"/>
  <c r="K567" i="1"/>
  <c r="L567" i="1"/>
  <c r="M567" i="1"/>
  <c r="N567" i="1"/>
  <c r="O567" i="1"/>
  <c r="Q567" i="1"/>
  <c r="A568" i="1"/>
  <c r="B568" i="1"/>
  <c r="C568" i="1"/>
  <c r="D568" i="1"/>
  <c r="E568" i="1"/>
  <c r="F568" i="1"/>
  <c r="H568" i="1"/>
  <c r="I568" i="1"/>
  <c r="J568" i="1"/>
  <c r="K568" i="1"/>
  <c r="L568" i="1"/>
  <c r="M568" i="1"/>
  <c r="N568" i="1"/>
  <c r="O568" i="1"/>
  <c r="Q568" i="1"/>
  <c r="A569" i="1"/>
  <c r="B569" i="1"/>
  <c r="C569" i="1"/>
  <c r="D569" i="1"/>
  <c r="E569" i="1"/>
  <c r="F569" i="1"/>
  <c r="H569" i="1"/>
  <c r="I569" i="1"/>
  <c r="J569" i="1"/>
  <c r="K569" i="1"/>
  <c r="L569" i="1"/>
  <c r="M569" i="1"/>
  <c r="N569" i="1"/>
  <c r="O569" i="1"/>
  <c r="Q569" i="1"/>
  <c r="A570" i="1"/>
  <c r="B570" i="1"/>
  <c r="C570" i="1"/>
  <c r="D570" i="1"/>
  <c r="E570" i="1"/>
  <c r="F570" i="1"/>
  <c r="H570" i="1"/>
  <c r="I570" i="1"/>
  <c r="J570" i="1"/>
  <c r="K570" i="1"/>
  <c r="L570" i="1"/>
  <c r="M570" i="1"/>
  <c r="N570" i="1"/>
  <c r="O570" i="1"/>
  <c r="Q570" i="1"/>
  <c r="A571" i="1"/>
  <c r="B571" i="1"/>
  <c r="C571" i="1"/>
  <c r="D571" i="1"/>
  <c r="E571" i="1"/>
  <c r="F571" i="1"/>
  <c r="H571" i="1"/>
  <c r="I571" i="1"/>
  <c r="J571" i="1"/>
  <c r="K571" i="1"/>
  <c r="L571" i="1"/>
  <c r="M571" i="1"/>
  <c r="N571" i="1"/>
  <c r="O571" i="1"/>
  <c r="Q571" i="1"/>
  <c r="A572" i="1"/>
  <c r="B572" i="1"/>
  <c r="C572" i="1"/>
  <c r="D572" i="1"/>
  <c r="E572" i="1"/>
  <c r="F572" i="1"/>
  <c r="H572" i="1"/>
  <c r="I572" i="1"/>
  <c r="J572" i="1"/>
  <c r="K572" i="1"/>
  <c r="L572" i="1"/>
  <c r="M572" i="1"/>
  <c r="N572" i="1"/>
  <c r="O572" i="1"/>
  <c r="Q572" i="1"/>
  <c r="A573" i="1"/>
  <c r="B573" i="1"/>
  <c r="C573" i="1"/>
  <c r="D573" i="1"/>
  <c r="E573" i="1"/>
  <c r="F573" i="1"/>
  <c r="H573" i="1"/>
  <c r="I573" i="1"/>
  <c r="J573" i="1"/>
  <c r="K573" i="1"/>
  <c r="L573" i="1"/>
  <c r="M573" i="1"/>
  <c r="N573" i="1"/>
  <c r="O573" i="1"/>
  <c r="Q573" i="1"/>
  <c r="A574" i="1"/>
  <c r="B574" i="1"/>
  <c r="C574" i="1"/>
  <c r="D574" i="1"/>
  <c r="E574" i="1"/>
  <c r="F574" i="1"/>
  <c r="H574" i="1"/>
  <c r="I574" i="1"/>
  <c r="J574" i="1"/>
  <c r="K574" i="1"/>
  <c r="L574" i="1"/>
  <c r="M574" i="1"/>
  <c r="N574" i="1"/>
  <c r="O574" i="1"/>
  <c r="Q574" i="1"/>
  <c r="A575" i="1"/>
  <c r="B575" i="1"/>
  <c r="C575" i="1"/>
  <c r="D575" i="1"/>
  <c r="E575" i="1"/>
  <c r="F575" i="1"/>
  <c r="H575" i="1"/>
  <c r="I575" i="1"/>
  <c r="J575" i="1"/>
  <c r="K575" i="1"/>
  <c r="L575" i="1"/>
  <c r="M575" i="1"/>
  <c r="N575" i="1"/>
  <c r="O575" i="1"/>
  <c r="Q575" i="1"/>
  <c r="A576" i="1"/>
  <c r="B576" i="1"/>
  <c r="C576" i="1"/>
  <c r="D576" i="1"/>
  <c r="E576" i="1"/>
  <c r="F576" i="1"/>
  <c r="H576" i="1"/>
  <c r="I576" i="1"/>
  <c r="J576" i="1"/>
  <c r="K576" i="1"/>
  <c r="L576" i="1"/>
  <c r="M576" i="1"/>
  <c r="N576" i="1"/>
  <c r="O576" i="1"/>
  <c r="Q576" i="1"/>
  <c r="A577" i="1"/>
  <c r="B577" i="1"/>
  <c r="C577" i="1"/>
  <c r="D577" i="1"/>
  <c r="E577" i="1"/>
  <c r="F577" i="1"/>
  <c r="H577" i="1"/>
  <c r="I577" i="1"/>
  <c r="J577" i="1"/>
  <c r="K577" i="1"/>
  <c r="L577" i="1"/>
  <c r="M577" i="1"/>
  <c r="N577" i="1"/>
  <c r="O577" i="1"/>
  <c r="Q577" i="1"/>
  <c r="A578" i="1"/>
  <c r="B578" i="1"/>
  <c r="C578" i="1"/>
  <c r="D578" i="1"/>
  <c r="E578" i="1"/>
  <c r="F578" i="1"/>
  <c r="H578" i="1"/>
  <c r="I578" i="1"/>
  <c r="J578" i="1"/>
  <c r="K578" i="1"/>
  <c r="L578" i="1"/>
  <c r="M578" i="1"/>
  <c r="N578" i="1"/>
  <c r="O578" i="1"/>
  <c r="Q578" i="1"/>
  <c r="A579" i="1"/>
  <c r="B579" i="1"/>
  <c r="C579" i="1"/>
  <c r="D579" i="1"/>
  <c r="E579" i="1"/>
  <c r="F579" i="1"/>
  <c r="H579" i="1"/>
  <c r="I579" i="1"/>
  <c r="J579" i="1"/>
  <c r="K579" i="1"/>
  <c r="L579" i="1"/>
  <c r="M579" i="1"/>
  <c r="N579" i="1"/>
  <c r="O579" i="1"/>
  <c r="Q579" i="1"/>
  <c r="A580" i="1"/>
  <c r="B580" i="1"/>
  <c r="C580" i="1"/>
  <c r="D580" i="1"/>
  <c r="E580" i="1"/>
  <c r="F580" i="1"/>
  <c r="H580" i="1"/>
  <c r="I580" i="1"/>
  <c r="J580" i="1"/>
  <c r="K580" i="1"/>
  <c r="L580" i="1"/>
  <c r="M580" i="1"/>
  <c r="N580" i="1"/>
  <c r="O580" i="1"/>
  <c r="Q580" i="1"/>
  <c r="A581" i="1"/>
  <c r="B581" i="1"/>
  <c r="C581" i="1"/>
  <c r="D581" i="1"/>
  <c r="E581" i="1"/>
  <c r="F581" i="1"/>
  <c r="H581" i="1"/>
  <c r="I581" i="1"/>
  <c r="J581" i="1"/>
  <c r="K581" i="1"/>
  <c r="L581" i="1"/>
  <c r="M581" i="1"/>
  <c r="N581" i="1"/>
  <c r="O581" i="1"/>
  <c r="Q581" i="1"/>
  <c r="A582" i="1"/>
  <c r="B582" i="1"/>
  <c r="C582" i="1"/>
  <c r="D582" i="1"/>
  <c r="E582" i="1"/>
  <c r="F582" i="1"/>
  <c r="H582" i="1"/>
  <c r="I582" i="1"/>
  <c r="J582" i="1"/>
  <c r="K582" i="1"/>
  <c r="L582" i="1"/>
  <c r="M582" i="1"/>
  <c r="N582" i="1"/>
  <c r="O582" i="1"/>
  <c r="Q582" i="1"/>
  <c r="A583" i="1"/>
  <c r="B583" i="1"/>
  <c r="C583" i="1"/>
  <c r="D583" i="1"/>
  <c r="E583" i="1"/>
  <c r="F583" i="1"/>
  <c r="H583" i="1"/>
  <c r="I583" i="1"/>
  <c r="J583" i="1"/>
  <c r="K583" i="1"/>
  <c r="L583" i="1"/>
  <c r="M583" i="1"/>
  <c r="N583" i="1"/>
  <c r="O583" i="1"/>
  <c r="Q583" i="1"/>
  <c r="A584" i="1"/>
  <c r="B584" i="1"/>
  <c r="C584" i="1"/>
  <c r="D584" i="1"/>
  <c r="E584" i="1"/>
  <c r="F584" i="1"/>
  <c r="H584" i="1"/>
  <c r="I584" i="1"/>
  <c r="J584" i="1"/>
  <c r="K584" i="1"/>
  <c r="L584" i="1"/>
  <c r="M584" i="1"/>
  <c r="N584" i="1"/>
  <c r="O584" i="1"/>
  <c r="Q584" i="1"/>
  <c r="A585" i="1"/>
  <c r="B585" i="1"/>
  <c r="C585" i="1"/>
  <c r="D585" i="1"/>
  <c r="E585" i="1"/>
  <c r="F585" i="1"/>
  <c r="H585" i="1"/>
  <c r="I585" i="1"/>
  <c r="J585" i="1"/>
  <c r="K585" i="1"/>
  <c r="L585" i="1"/>
  <c r="M585" i="1"/>
  <c r="N585" i="1"/>
  <c r="O585" i="1"/>
  <c r="Q585" i="1"/>
  <c r="A586" i="1"/>
  <c r="B586" i="1"/>
  <c r="C586" i="1"/>
  <c r="D586" i="1"/>
  <c r="E586" i="1"/>
  <c r="F586" i="1"/>
  <c r="H586" i="1"/>
  <c r="I586" i="1"/>
  <c r="J586" i="1"/>
  <c r="K586" i="1"/>
  <c r="L586" i="1"/>
  <c r="M586" i="1"/>
  <c r="N586" i="1"/>
  <c r="O586" i="1"/>
  <c r="Q586" i="1"/>
  <c r="A587" i="1"/>
  <c r="B587" i="1"/>
  <c r="C587" i="1"/>
  <c r="D587" i="1"/>
  <c r="E587" i="1"/>
  <c r="F587" i="1"/>
  <c r="H587" i="1"/>
  <c r="I587" i="1"/>
  <c r="J587" i="1"/>
  <c r="K587" i="1"/>
  <c r="L587" i="1"/>
  <c r="M587" i="1"/>
  <c r="N587" i="1"/>
  <c r="O587" i="1"/>
  <c r="Q587" i="1"/>
  <c r="A588" i="1"/>
  <c r="B588" i="1"/>
  <c r="C588" i="1"/>
  <c r="D588" i="1"/>
  <c r="E588" i="1"/>
  <c r="F588" i="1"/>
  <c r="H588" i="1"/>
  <c r="I588" i="1"/>
  <c r="J588" i="1"/>
  <c r="K588" i="1"/>
  <c r="L588" i="1"/>
  <c r="M588" i="1"/>
  <c r="N588" i="1"/>
  <c r="O588" i="1"/>
  <c r="Q588" i="1"/>
  <c r="A589" i="1"/>
  <c r="B589" i="1"/>
  <c r="C589" i="1"/>
  <c r="D589" i="1"/>
  <c r="E589" i="1"/>
  <c r="F589" i="1"/>
  <c r="H589" i="1"/>
  <c r="I589" i="1"/>
  <c r="J589" i="1"/>
  <c r="K589" i="1"/>
  <c r="L589" i="1"/>
  <c r="M589" i="1"/>
  <c r="N589" i="1"/>
  <c r="O589" i="1"/>
  <c r="Q589" i="1"/>
  <c r="A590" i="1"/>
  <c r="B590" i="1"/>
  <c r="C590" i="1"/>
  <c r="D590" i="1"/>
  <c r="E590" i="1"/>
  <c r="F590" i="1"/>
  <c r="H590" i="1"/>
  <c r="I590" i="1"/>
  <c r="J590" i="1"/>
  <c r="K590" i="1"/>
  <c r="L590" i="1"/>
  <c r="M590" i="1"/>
  <c r="N590" i="1"/>
  <c r="O590" i="1"/>
  <c r="Q590" i="1"/>
  <c r="A591" i="1"/>
  <c r="B591" i="1"/>
  <c r="C591" i="1"/>
  <c r="D591" i="1"/>
  <c r="E591" i="1"/>
  <c r="F591" i="1"/>
  <c r="H591" i="1"/>
  <c r="I591" i="1"/>
  <c r="J591" i="1"/>
  <c r="K591" i="1"/>
  <c r="L591" i="1"/>
  <c r="M591" i="1"/>
  <c r="N591" i="1"/>
  <c r="O591" i="1"/>
  <c r="Q591" i="1"/>
  <c r="A592" i="1"/>
  <c r="B592" i="1"/>
  <c r="C592" i="1"/>
  <c r="D592" i="1"/>
  <c r="E592" i="1"/>
  <c r="F592" i="1"/>
  <c r="H592" i="1"/>
  <c r="I592" i="1"/>
  <c r="J592" i="1"/>
  <c r="K592" i="1"/>
  <c r="L592" i="1"/>
  <c r="M592" i="1"/>
  <c r="N592" i="1"/>
  <c r="O592" i="1"/>
  <c r="Q592" i="1"/>
  <c r="A593" i="1"/>
  <c r="B593" i="1"/>
  <c r="C593" i="1"/>
  <c r="D593" i="1"/>
  <c r="E593" i="1"/>
  <c r="F593" i="1"/>
  <c r="H593" i="1"/>
  <c r="I593" i="1"/>
  <c r="J593" i="1"/>
  <c r="K593" i="1"/>
  <c r="L593" i="1"/>
  <c r="M593" i="1"/>
  <c r="N593" i="1"/>
  <c r="O593" i="1"/>
  <c r="Q593" i="1"/>
  <c r="A594" i="1"/>
  <c r="B594" i="1"/>
  <c r="C594" i="1"/>
  <c r="D594" i="1"/>
  <c r="E594" i="1"/>
  <c r="F594" i="1"/>
  <c r="H594" i="1"/>
  <c r="I594" i="1"/>
  <c r="J594" i="1"/>
  <c r="K594" i="1"/>
  <c r="L594" i="1"/>
  <c r="M594" i="1"/>
  <c r="N594" i="1"/>
  <c r="O594" i="1"/>
  <c r="Q594" i="1"/>
  <c r="A595" i="1"/>
  <c r="B595" i="1"/>
  <c r="C595" i="1"/>
  <c r="D595" i="1"/>
  <c r="E595" i="1"/>
  <c r="F595" i="1"/>
  <c r="H595" i="1"/>
  <c r="I595" i="1"/>
  <c r="J595" i="1"/>
  <c r="K595" i="1"/>
  <c r="L595" i="1"/>
  <c r="M595" i="1"/>
  <c r="N595" i="1"/>
  <c r="O595" i="1"/>
  <c r="Q595" i="1"/>
  <c r="A596" i="1"/>
  <c r="B596" i="1"/>
  <c r="C596" i="1"/>
  <c r="D596" i="1"/>
  <c r="E596" i="1"/>
  <c r="F596" i="1"/>
  <c r="H596" i="1"/>
  <c r="I596" i="1"/>
  <c r="J596" i="1"/>
  <c r="K596" i="1"/>
  <c r="L596" i="1"/>
  <c r="M596" i="1"/>
  <c r="N596" i="1"/>
  <c r="O596" i="1"/>
  <c r="Q596" i="1"/>
  <c r="A597" i="1"/>
  <c r="B597" i="1"/>
  <c r="C597" i="1"/>
  <c r="D597" i="1"/>
  <c r="E597" i="1"/>
  <c r="F597" i="1"/>
  <c r="H597" i="1"/>
  <c r="I597" i="1"/>
  <c r="J597" i="1"/>
  <c r="K597" i="1"/>
  <c r="L597" i="1"/>
  <c r="M597" i="1"/>
  <c r="N597" i="1"/>
  <c r="O597" i="1"/>
  <c r="Q597" i="1"/>
  <c r="A598" i="1"/>
  <c r="B598" i="1"/>
  <c r="C598" i="1"/>
  <c r="D598" i="1"/>
  <c r="E598" i="1"/>
  <c r="F598" i="1"/>
  <c r="H598" i="1"/>
  <c r="I598" i="1"/>
  <c r="J598" i="1"/>
  <c r="K598" i="1"/>
  <c r="L598" i="1"/>
  <c r="M598" i="1"/>
  <c r="N598" i="1"/>
  <c r="O598" i="1"/>
  <c r="Q598" i="1"/>
  <c r="A599" i="1"/>
  <c r="B599" i="1"/>
  <c r="C599" i="1"/>
  <c r="D599" i="1"/>
  <c r="E599" i="1"/>
  <c r="F599" i="1"/>
  <c r="H599" i="1"/>
  <c r="I599" i="1"/>
  <c r="J599" i="1"/>
  <c r="K599" i="1"/>
  <c r="L599" i="1"/>
  <c r="M599" i="1"/>
  <c r="N599" i="1"/>
  <c r="O599" i="1"/>
  <c r="Q599" i="1"/>
  <c r="A600" i="1"/>
  <c r="B600" i="1"/>
  <c r="C600" i="1"/>
  <c r="D600" i="1"/>
  <c r="E600" i="1"/>
  <c r="F600" i="1"/>
  <c r="H600" i="1"/>
  <c r="I600" i="1"/>
  <c r="J600" i="1"/>
  <c r="K600" i="1"/>
  <c r="L600" i="1"/>
  <c r="M600" i="1"/>
  <c r="N600" i="1"/>
  <c r="O600" i="1"/>
  <c r="Q600" i="1"/>
  <c r="A601" i="1"/>
  <c r="B601" i="1"/>
  <c r="C601" i="1"/>
  <c r="D601" i="1"/>
  <c r="E601" i="1"/>
  <c r="F601" i="1"/>
  <c r="H601" i="1"/>
  <c r="I601" i="1"/>
  <c r="J601" i="1"/>
  <c r="K601" i="1"/>
  <c r="L601" i="1"/>
  <c r="M601" i="1"/>
  <c r="N601" i="1"/>
  <c r="O601" i="1"/>
  <c r="Q601" i="1"/>
  <c r="A602" i="1"/>
  <c r="B602" i="1"/>
  <c r="C602" i="1"/>
  <c r="D602" i="1"/>
  <c r="E602" i="1"/>
  <c r="F602" i="1"/>
  <c r="H602" i="1"/>
  <c r="I602" i="1"/>
  <c r="J602" i="1"/>
  <c r="K602" i="1"/>
  <c r="L602" i="1"/>
  <c r="M602" i="1"/>
  <c r="N602" i="1"/>
  <c r="O602" i="1"/>
  <c r="Q602" i="1"/>
  <c r="A603" i="1"/>
  <c r="B603" i="1"/>
  <c r="C603" i="1"/>
  <c r="D603" i="1"/>
  <c r="E603" i="1"/>
  <c r="F603" i="1"/>
  <c r="H603" i="1"/>
  <c r="I603" i="1"/>
  <c r="J603" i="1"/>
  <c r="K603" i="1"/>
  <c r="L603" i="1"/>
  <c r="M603" i="1"/>
  <c r="N603" i="1"/>
  <c r="O603" i="1"/>
  <c r="Q603" i="1"/>
  <c r="A604" i="1"/>
  <c r="B604" i="1"/>
  <c r="C604" i="1"/>
  <c r="D604" i="1"/>
  <c r="E604" i="1"/>
  <c r="F604" i="1"/>
  <c r="H604" i="1"/>
  <c r="I604" i="1"/>
  <c r="J604" i="1"/>
  <c r="K604" i="1"/>
  <c r="L604" i="1"/>
  <c r="M604" i="1"/>
  <c r="N604" i="1"/>
  <c r="O604" i="1"/>
  <c r="Q604" i="1"/>
  <c r="A605" i="1"/>
  <c r="B605" i="1"/>
  <c r="C605" i="1"/>
  <c r="D605" i="1"/>
  <c r="E605" i="1"/>
  <c r="F605" i="1"/>
  <c r="H605" i="1"/>
  <c r="I605" i="1"/>
  <c r="J605" i="1"/>
  <c r="K605" i="1"/>
  <c r="L605" i="1"/>
  <c r="M605" i="1"/>
  <c r="N605" i="1"/>
  <c r="O605" i="1"/>
  <c r="Q605" i="1"/>
  <c r="A606" i="1"/>
  <c r="B606" i="1"/>
  <c r="C606" i="1"/>
  <c r="D606" i="1"/>
  <c r="E606" i="1"/>
  <c r="F606" i="1"/>
  <c r="H606" i="1"/>
  <c r="I606" i="1"/>
  <c r="J606" i="1"/>
  <c r="K606" i="1"/>
  <c r="L606" i="1"/>
  <c r="M606" i="1"/>
  <c r="N606" i="1"/>
  <c r="O606" i="1"/>
  <c r="Q606" i="1"/>
  <c r="A607" i="1"/>
  <c r="B607" i="1"/>
  <c r="C607" i="1"/>
  <c r="D607" i="1"/>
  <c r="E607" i="1"/>
  <c r="F607" i="1"/>
  <c r="H607" i="1"/>
  <c r="I607" i="1"/>
  <c r="J607" i="1"/>
  <c r="K607" i="1"/>
  <c r="L607" i="1"/>
  <c r="M607" i="1"/>
  <c r="N607" i="1"/>
  <c r="O607" i="1"/>
  <c r="Q607" i="1"/>
  <c r="A608" i="1"/>
  <c r="B608" i="1"/>
  <c r="C608" i="1"/>
  <c r="D608" i="1"/>
  <c r="E608" i="1"/>
  <c r="F608" i="1"/>
  <c r="H608" i="1"/>
  <c r="I608" i="1"/>
  <c r="J608" i="1"/>
  <c r="K608" i="1"/>
  <c r="L608" i="1"/>
  <c r="M608" i="1"/>
  <c r="N608" i="1"/>
  <c r="O608" i="1"/>
  <c r="Q608" i="1"/>
  <c r="A609" i="1"/>
  <c r="B609" i="1"/>
  <c r="C609" i="1"/>
  <c r="D609" i="1"/>
  <c r="E609" i="1"/>
  <c r="F609" i="1"/>
  <c r="H609" i="1"/>
  <c r="I609" i="1"/>
  <c r="J609" i="1"/>
  <c r="K609" i="1"/>
  <c r="L609" i="1"/>
  <c r="M609" i="1"/>
  <c r="N609" i="1"/>
  <c r="O609" i="1"/>
  <c r="Q609" i="1"/>
  <c r="A610" i="1"/>
  <c r="B610" i="1"/>
  <c r="C610" i="1"/>
  <c r="D610" i="1"/>
  <c r="E610" i="1"/>
  <c r="F610" i="1"/>
  <c r="H610" i="1"/>
  <c r="I610" i="1"/>
  <c r="J610" i="1"/>
  <c r="K610" i="1"/>
  <c r="L610" i="1"/>
  <c r="M610" i="1"/>
  <c r="N610" i="1"/>
  <c r="O610" i="1"/>
  <c r="Q610" i="1"/>
  <c r="A611" i="1"/>
  <c r="B611" i="1"/>
  <c r="C611" i="1"/>
  <c r="D611" i="1"/>
  <c r="E611" i="1"/>
  <c r="F611" i="1"/>
  <c r="H611" i="1"/>
  <c r="I611" i="1"/>
  <c r="J611" i="1"/>
  <c r="K611" i="1"/>
  <c r="L611" i="1"/>
  <c r="M611" i="1"/>
  <c r="N611" i="1"/>
  <c r="O611" i="1"/>
  <c r="Q611" i="1"/>
  <c r="A612" i="1"/>
  <c r="B612" i="1"/>
  <c r="C612" i="1"/>
  <c r="D612" i="1"/>
  <c r="E612" i="1"/>
  <c r="F612" i="1"/>
  <c r="H612" i="1"/>
  <c r="I612" i="1"/>
  <c r="J612" i="1"/>
  <c r="K612" i="1"/>
  <c r="L612" i="1"/>
  <c r="M612" i="1"/>
  <c r="N612" i="1"/>
  <c r="O612" i="1"/>
  <c r="Q612" i="1"/>
  <c r="A613" i="1"/>
  <c r="B613" i="1"/>
  <c r="C613" i="1"/>
  <c r="D613" i="1"/>
  <c r="E613" i="1"/>
  <c r="F613" i="1"/>
  <c r="H613" i="1"/>
  <c r="I613" i="1"/>
  <c r="J613" i="1"/>
  <c r="K613" i="1"/>
  <c r="L613" i="1"/>
  <c r="M613" i="1"/>
  <c r="N613" i="1"/>
  <c r="O613" i="1"/>
  <c r="Q613" i="1"/>
  <c r="A614" i="1"/>
  <c r="B614" i="1"/>
  <c r="C614" i="1"/>
  <c r="D614" i="1"/>
  <c r="E614" i="1"/>
  <c r="F614" i="1"/>
  <c r="H614" i="1"/>
  <c r="I614" i="1"/>
  <c r="J614" i="1"/>
  <c r="K614" i="1"/>
  <c r="L614" i="1"/>
  <c r="M614" i="1"/>
  <c r="N614" i="1"/>
  <c r="O614" i="1"/>
  <c r="Q614" i="1"/>
  <c r="A615" i="1"/>
  <c r="B615" i="1"/>
  <c r="C615" i="1"/>
  <c r="D615" i="1"/>
  <c r="E615" i="1"/>
  <c r="F615" i="1"/>
  <c r="H615" i="1"/>
  <c r="I615" i="1"/>
  <c r="J615" i="1"/>
  <c r="K615" i="1"/>
  <c r="L615" i="1"/>
  <c r="M615" i="1"/>
  <c r="N615" i="1"/>
  <c r="O615" i="1"/>
  <c r="Q615" i="1"/>
  <c r="A616" i="1"/>
  <c r="B616" i="1"/>
  <c r="C616" i="1"/>
  <c r="D616" i="1"/>
  <c r="E616" i="1"/>
  <c r="F616" i="1"/>
  <c r="H616" i="1"/>
  <c r="I616" i="1"/>
  <c r="J616" i="1"/>
  <c r="K616" i="1"/>
  <c r="L616" i="1"/>
  <c r="M616" i="1"/>
  <c r="N616" i="1"/>
  <c r="O616" i="1"/>
  <c r="Q616" i="1"/>
  <c r="A617" i="1"/>
  <c r="B617" i="1"/>
  <c r="C617" i="1"/>
  <c r="D617" i="1"/>
  <c r="E617" i="1"/>
  <c r="F617" i="1"/>
  <c r="H617" i="1"/>
  <c r="I617" i="1"/>
  <c r="J617" i="1"/>
  <c r="K617" i="1"/>
  <c r="L617" i="1"/>
  <c r="M617" i="1"/>
  <c r="N617" i="1"/>
  <c r="O617" i="1"/>
  <c r="Q617" i="1"/>
  <c r="A618" i="1"/>
  <c r="B618" i="1"/>
  <c r="C618" i="1"/>
  <c r="D618" i="1"/>
  <c r="E618" i="1"/>
  <c r="F618" i="1"/>
  <c r="H618" i="1"/>
  <c r="I618" i="1"/>
  <c r="J618" i="1"/>
  <c r="K618" i="1"/>
  <c r="L618" i="1"/>
  <c r="M618" i="1"/>
  <c r="N618" i="1"/>
  <c r="O618" i="1"/>
  <c r="Q618" i="1"/>
  <c r="A619" i="1"/>
  <c r="B619" i="1"/>
  <c r="C619" i="1"/>
  <c r="D619" i="1"/>
  <c r="E619" i="1"/>
  <c r="F619" i="1"/>
  <c r="H619" i="1"/>
  <c r="I619" i="1"/>
  <c r="J619" i="1"/>
  <c r="K619" i="1"/>
  <c r="L619" i="1"/>
  <c r="M619" i="1"/>
  <c r="N619" i="1"/>
  <c r="O619" i="1"/>
  <c r="Q619" i="1"/>
  <c r="A620" i="1"/>
  <c r="B620" i="1"/>
  <c r="C620" i="1"/>
  <c r="D620" i="1"/>
  <c r="E620" i="1"/>
  <c r="F620" i="1"/>
  <c r="H620" i="1"/>
  <c r="I620" i="1"/>
  <c r="J620" i="1"/>
  <c r="K620" i="1"/>
  <c r="L620" i="1"/>
  <c r="M620" i="1"/>
  <c r="N620" i="1"/>
  <c r="O620" i="1"/>
  <c r="Q620" i="1"/>
  <c r="A621" i="1"/>
  <c r="B621" i="1"/>
  <c r="C621" i="1"/>
  <c r="D621" i="1"/>
  <c r="E621" i="1"/>
  <c r="F621" i="1"/>
  <c r="H621" i="1"/>
  <c r="I621" i="1"/>
  <c r="J621" i="1"/>
  <c r="K621" i="1"/>
  <c r="L621" i="1"/>
  <c r="M621" i="1"/>
  <c r="N621" i="1"/>
  <c r="O621" i="1"/>
  <c r="Q621" i="1"/>
  <c r="A622" i="1"/>
  <c r="B622" i="1"/>
  <c r="C622" i="1"/>
  <c r="D622" i="1"/>
  <c r="E622" i="1"/>
  <c r="F622" i="1"/>
  <c r="H622" i="1"/>
  <c r="I622" i="1"/>
  <c r="J622" i="1"/>
  <c r="K622" i="1"/>
  <c r="L622" i="1"/>
  <c r="M622" i="1"/>
  <c r="N622" i="1"/>
  <c r="O622" i="1"/>
  <c r="Q622" i="1"/>
</calcChain>
</file>

<file path=xl/sharedStrings.xml><?xml version="1.0" encoding="utf-8"?>
<sst xmlns="http://schemas.openxmlformats.org/spreadsheetml/2006/main" count="910" uniqueCount="72">
  <si>
    <t>Sample Name</t>
  </si>
  <si>
    <t>Analysis(Inj.)</t>
  </si>
  <si>
    <t>Area</t>
  </si>
  <si>
    <t>Conc.</t>
  </si>
  <si>
    <t>NPOC</t>
  </si>
  <si>
    <t>C_cal_100ppm</t>
  </si>
  <si>
    <t>TN</t>
  </si>
  <si>
    <t>N_cal_25ppm_acid_laurel</t>
  </si>
  <si>
    <t>DI</t>
  </si>
  <si>
    <t>25ppm</t>
  </si>
  <si>
    <t>K2so4</t>
  </si>
  <si>
    <t>1045</t>
  </si>
  <si>
    <t>1047</t>
  </si>
  <si>
    <t>1049</t>
  </si>
  <si>
    <t>1051</t>
  </si>
  <si>
    <t>1053</t>
  </si>
  <si>
    <t>1055</t>
  </si>
  <si>
    <t>1057</t>
  </si>
  <si>
    <t>1059</t>
  </si>
  <si>
    <t>1061</t>
  </si>
  <si>
    <t>1063</t>
  </si>
  <si>
    <t>1065</t>
  </si>
  <si>
    <t>1067</t>
  </si>
  <si>
    <t>1069</t>
  </si>
  <si>
    <t>1071</t>
  </si>
  <si>
    <t>1073</t>
  </si>
  <si>
    <t>1075</t>
  </si>
  <si>
    <t>1077</t>
  </si>
  <si>
    <t>1079</t>
  </si>
  <si>
    <t>1081</t>
  </si>
  <si>
    <t>1083</t>
  </si>
  <si>
    <t>1085</t>
  </si>
  <si>
    <t>1087</t>
  </si>
  <si>
    <t>1089</t>
  </si>
  <si>
    <t>1091</t>
  </si>
  <si>
    <t>1093</t>
  </si>
  <si>
    <t>1095</t>
  </si>
  <si>
    <t>1097</t>
  </si>
  <si>
    <t>1099</t>
  </si>
  <si>
    <t>1101</t>
  </si>
  <si>
    <t>1103</t>
  </si>
  <si>
    <t>1046</t>
  </si>
  <si>
    <t>1048</t>
  </si>
  <si>
    <t>1050</t>
  </si>
  <si>
    <t>1052</t>
  </si>
  <si>
    <t>1054</t>
  </si>
  <si>
    <t>1056</t>
  </si>
  <si>
    <t>1058</t>
  </si>
  <si>
    <t>1060</t>
  </si>
  <si>
    <t>1062</t>
  </si>
  <si>
    <t>1064</t>
  </si>
  <si>
    <t>1066</t>
  </si>
  <si>
    <t>1068</t>
  </si>
  <si>
    <t>1070</t>
  </si>
  <si>
    <t>1072</t>
  </si>
  <si>
    <t>1074</t>
  </si>
  <si>
    <t>1076</t>
  </si>
  <si>
    <t>1078</t>
  </si>
  <si>
    <t>1080</t>
  </si>
  <si>
    <t>1082</t>
  </si>
  <si>
    <t>1084</t>
  </si>
  <si>
    <t>1086</t>
  </si>
  <si>
    <t>1088</t>
  </si>
  <si>
    <t>1090</t>
  </si>
  <si>
    <t>1092</t>
  </si>
  <si>
    <t>1094</t>
  </si>
  <si>
    <t>1096</t>
  </si>
  <si>
    <t>1098</t>
  </si>
  <si>
    <t>1100</t>
  </si>
  <si>
    <t>1102</t>
  </si>
  <si>
    <t>1104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</si>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</sst>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Sheet2!$C$2:$C$19</c:f>
              <c:numCache>
                <c:formatCode>General</c:formatCode>
                <c:ptCount val="18"/>
                <c:pt idx="0">
                  <c:v>8.9559999999999995</c:v>
                </c:pt>
                <c:pt idx="1">
                  <c:v>8.8620000000000001</c:v>
                </c:pt>
                <c:pt idx="2">
                  <c:v>8.7650000000000006</c:v>
                </c:pt>
                <c:pt idx="3">
                  <c:v>24.57</c:v>
                </c:pt>
                <c:pt idx="4">
                  <c:v>25</c:v>
                </c:pt>
                <c:pt idx="5">
                  <c:v>24.21</c:v>
                </c:pt>
                <c:pt idx="6">
                  <c:v>47.04</c:v>
                </c:pt>
                <c:pt idx="7">
                  <c:v>47.14</c:v>
                </c:pt>
                <c:pt idx="8">
                  <c:v>48.72</c:v>
                </c:pt>
                <c:pt idx="9">
                  <c:v>95.64</c:v>
                </c:pt>
                <c:pt idx="10">
                  <c:v>97.2</c:v>
                </c:pt>
                <c:pt idx="11">
                  <c:v>97.05</c:v>
                </c:pt>
                <c:pt idx="12">
                  <c:v>243.7</c:v>
                </c:pt>
                <c:pt idx="13">
                  <c:v>244.9</c:v>
                </c:pt>
                <c:pt idx="14">
                  <c:v>247.8</c:v>
                </c:pt>
                <c:pt idx="15">
                  <c:v>492.6</c:v>
                </c:pt>
                <c:pt idx="16">
                  <c:v>481.3</c:v>
                </c:pt>
                <c:pt idx="17">
                  <c:v>483.2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F-1242-8C1C-65771FAF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58607"/>
        <c:axId val="1642081311"/>
      </c:scatterChart>
      <c:valAx>
        <c:axId val="164175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81311"/>
        <c:crosses val="autoZero"/>
        <c:crossBetween val="midCat"/>
      </c:valAx>
      <c:valAx>
        <c:axId val="16420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Sheet2!$N$2:$N$19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Sheet2!$M$2:$M$19</c:f>
              <c:numCache>
                <c:formatCode>General</c:formatCode>
                <c:ptCount val="18"/>
                <c:pt idx="0">
                  <c:v>2.3250000000000002</c:v>
                </c:pt>
                <c:pt idx="1">
                  <c:v>2.411</c:v>
                </c:pt>
                <c:pt idx="2">
                  <c:v>2.177</c:v>
                </c:pt>
                <c:pt idx="3">
                  <c:v>4.6319999999999997</c:v>
                </c:pt>
                <c:pt idx="4">
                  <c:v>3.3180000000000001</c:v>
                </c:pt>
                <c:pt idx="5">
                  <c:v>3.4489999999999998</c:v>
                </c:pt>
                <c:pt idx="6">
                  <c:v>7.5309999999999997</c:v>
                </c:pt>
                <c:pt idx="7">
                  <c:v>7.327</c:v>
                </c:pt>
                <c:pt idx="8">
                  <c:v>7.5250000000000004</c:v>
                </c:pt>
                <c:pt idx="9">
                  <c:v>23.38</c:v>
                </c:pt>
                <c:pt idx="10">
                  <c:v>22.94</c:v>
                </c:pt>
                <c:pt idx="11">
                  <c:v>23.02</c:v>
                </c:pt>
                <c:pt idx="12">
                  <c:v>60.84</c:v>
                </c:pt>
                <c:pt idx="13">
                  <c:v>59.53</c:v>
                </c:pt>
                <c:pt idx="14">
                  <c:v>61.89</c:v>
                </c:pt>
                <c:pt idx="15">
                  <c:v>121</c:v>
                </c:pt>
                <c:pt idx="16">
                  <c:v>122.2</c:v>
                </c:pt>
                <c:pt idx="17">
                  <c:v>122.4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5-974D-BFAC-1E7CF46E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58607"/>
        <c:axId val="1642081311"/>
      </c:scatterChart>
      <c:valAx>
        <c:axId val="164175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81311"/>
        <c:crosses val="autoZero"/>
        <c:crossBetween val="midCat"/>
      </c:valAx>
      <c:valAx>
        <c:axId val="16420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5</xdr:row>
      <xdr:rowOff>0</xdr:rowOff>
    </xdr:from>
    <xdr:to>
      <xdr:col>10</xdr:col>
      <xdr:colOff>69850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6578B-F4E4-3946-A848-879298F22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20</xdr:col>
      <xdr:colOff>444500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6E60E-1106-1B4F-8F04-D7574937E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A94B-98EF-9D48-955C-E1BE3F2346AC}">
  <dimension ref="A1:Q622"/>
  <sheetViews>
    <sheetView workbookViewId="0">
      <selection activeCell="A13" sqref="A1:XFD1048576"/>
    </sheetView>
  </sheetViews>
  <sheetFormatPr baseColWidth="10" defaultRowHeight="16" x14ac:dyDescent="0.2"/>
  <sheetData>
    <row r="1" spans="1:17" x14ac:dyDescent="0.2">
      <c r="A1" t="str">
        <f>"Type"</f>
        <v>Type</v>
      </c>
      <c r="B1" t="str">
        <f>"Anal."</f>
        <v>Anal.</v>
      </c>
      <c r="C1" t="str">
        <f>"Sample Name"</f>
        <v>Sample Name</v>
      </c>
      <c r="D1" t="str">
        <f>"Sample ID"</f>
        <v>Sample ID</v>
      </c>
      <c r="E1" t="str">
        <f>"Origin"</f>
        <v>Origin</v>
      </c>
      <c r="F1" t="str">
        <f>"Cal. Curve"</f>
        <v>Cal. Curve</v>
      </c>
      <c r="G1" t="str">
        <f>"Dil."</f>
        <v>Dil.</v>
      </c>
      <c r="H1" t="str">
        <f>"Notes"</f>
        <v>Notes</v>
      </c>
      <c r="I1" t="str">
        <f>"Date / Time"</f>
        <v>Date / Time</v>
      </c>
      <c r="J1" t="str">
        <f>"Spl. No."</f>
        <v>Spl. No.</v>
      </c>
      <c r="K1" t="str">
        <f>"Inj. No."</f>
        <v>Inj. No.</v>
      </c>
      <c r="L1" t="str">
        <f>"Analysis(Inj.)"</f>
        <v>Analysis(Inj.)</v>
      </c>
      <c r="M1" t="str">
        <f>"Area"</f>
        <v>Area</v>
      </c>
      <c r="N1" t="str">
        <f>"Conc."</f>
        <v>Conc.</v>
      </c>
      <c r="O1" t="str">
        <f>"Result"</f>
        <v>Result</v>
      </c>
      <c r="P1" t="str">
        <f>"Excluded"</f>
        <v>Excluded</v>
      </c>
      <c r="Q1" t="str">
        <f>"Inj. Vol."</f>
        <v>Inj. Vol.</v>
      </c>
    </row>
    <row r="2" spans="1:17" x14ac:dyDescent="0.2">
      <c r="A2" t="str">
        <f>"Standard"</f>
        <v>Standard</v>
      </c>
      <c r="B2" t="str">
        <f>"NPOC"</f>
        <v>NPOC</v>
      </c>
      <c r="C2" t="str">
        <f>"C_cal_100ppm"</f>
        <v>C_cal_100ppm</v>
      </c>
      <c r="D2" t="str">
        <f>"C_cal_100ppm"</f>
        <v>C_cal_100ppm</v>
      </c>
      <c r="E2" t="str">
        <f>"C:\TOC3201\CalCurves\Itamar\C_cal_100ppm_acid_laurel.2019_08_15_10_24_40.cal"</f>
        <v>C:\TOC3201\CalCurves\Itamar\C_cal_100ppm_acid_laurel.2019_08_15_10_24_40.cal</v>
      </c>
      <c r="F2" t="str">
        <f>""</f>
        <v/>
      </c>
      <c r="G2">
        <v>1</v>
      </c>
      <c r="H2" t="str">
        <f>""</f>
        <v/>
      </c>
      <c r="I2" t="str">
        <f>"8/15/2019 10:34:46 AM"</f>
        <v>8/15/2019 10:34:46 AM</v>
      </c>
      <c r="J2" t="str">
        <f>"1"</f>
        <v>1</v>
      </c>
      <c r="K2" t="str">
        <f>"1"</f>
        <v>1</v>
      </c>
      <c r="L2" t="str">
        <f>"NPOC"</f>
        <v>NPOC</v>
      </c>
      <c r="M2" t="str">
        <f>"7.444"</f>
        <v>7.444</v>
      </c>
      <c r="N2" t="str">
        <f>"2.000"</f>
        <v>2.000</v>
      </c>
      <c r="O2" t="str">
        <f>" "</f>
        <v xml:space="preserve"> </v>
      </c>
      <c r="P2">
        <v>1</v>
      </c>
      <c r="Q2" t="str">
        <f>"80"</f>
        <v>80</v>
      </c>
    </row>
    <row r="3" spans="1:17" x14ac:dyDescent="0.2">
      <c r="A3" t="str">
        <f>"Standard"</f>
        <v>Standard</v>
      </c>
      <c r="B3" t="str">
        <f>"NPOC"</f>
        <v>NPOC</v>
      </c>
      <c r="C3" t="str">
        <f>"C_cal_100ppm"</f>
        <v>C_cal_100ppm</v>
      </c>
      <c r="D3" t="str">
        <f>"C_cal_100ppm"</f>
        <v>C_cal_100ppm</v>
      </c>
      <c r="E3" t="str">
        <f>"C:\TOC3201\CalCurves\Itamar\C_cal_100ppm_acid_laurel.2019_08_15_10_24_40.cal"</f>
        <v>C:\TOC3201\CalCurves\Itamar\C_cal_100ppm_acid_laurel.2019_08_15_10_24_40.cal</v>
      </c>
      <c r="F3" t="str">
        <f>""</f>
        <v/>
      </c>
      <c r="G3">
        <v>1</v>
      </c>
      <c r="H3" t="str">
        <f>""</f>
        <v/>
      </c>
      <c r="I3" t="str">
        <f>"8/15/2019 10:37:59 AM"</f>
        <v>8/15/2019 10:37:59 AM</v>
      </c>
      <c r="J3" t="str">
        <f>"1"</f>
        <v>1</v>
      </c>
      <c r="K3" t="str">
        <f>"2"</f>
        <v>2</v>
      </c>
      <c r="L3" t="str">
        <f>"NPOC"</f>
        <v>NPOC</v>
      </c>
      <c r="M3" t="str">
        <f>"8.196"</f>
        <v>8.196</v>
      </c>
      <c r="N3" t="str">
        <f>"2.000"</f>
        <v>2.000</v>
      </c>
      <c r="O3" t="str">
        <f>" "</f>
        <v xml:space="preserve"> </v>
      </c>
      <c r="P3">
        <v>1</v>
      </c>
      <c r="Q3" t="str">
        <f>"80"</f>
        <v>80</v>
      </c>
    </row>
    <row r="4" spans="1:17" x14ac:dyDescent="0.2">
      <c r="A4" t="str">
        <f>"Standard"</f>
        <v>Standard</v>
      </c>
      <c r="B4" t="str">
        <f>"NPOC"</f>
        <v>NPOC</v>
      </c>
      <c r="C4" t="str">
        <f>"C_cal_100ppm"</f>
        <v>C_cal_100ppm</v>
      </c>
      <c r="D4" t="str">
        <f>"C_cal_100ppm"</f>
        <v>C_cal_100ppm</v>
      </c>
      <c r="E4" t="str">
        <f>"C:\TOC3201\CalCurves\Itamar\C_cal_100ppm_acid_laurel.2019_08_15_10_24_40.cal"</f>
        <v>C:\TOC3201\CalCurves\Itamar\C_cal_100ppm_acid_laurel.2019_08_15_10_24_40.cal</v>
      </c>
      <c r="F4" t="str">
        <f>""</f>
        <v/>
      </c>
      <c r="G4">
        <v>1</v>
      </c>
      <c r="H4" t="str">
        <f>""</f>
        <v/>
      </c>
      <c r="I4" t="str">
        <f>"8/15/2019 10:41:04 AM"</f>
        <v>8/15/2019 10:41:04 AM</v>
      </c>
      <c r="J4" t="str">
        <f>"1"</f>
        <v>1</v>
      </c>
      <c r="K4" t="str">
        <f>"3"</f>
        <v>3</v>
      </c>
      <c r="L4" t="str">
        <f>"NPOC"</f>
        <v>NPOC</v>
      </c>
      <c r="M4" t="str">
        <f>"8.956"</f>
        <v>8.956</v>
      </c>
      <c r="N4" t="str">
        <f>"2.000"</f>
        <v>2.000</v>
      </c>
      <c r="O4" t="str">
        <f>" "</f>
        <v xml:space="preserve"> </v>
      </c>
      <c r="P4">
        <v>0</v>
      </c>
      <c r="Q4" t="str">
        <f>"80"</f>
        <v>80</v>
      </c>
    </row>
    <row r="5" spans="1:17" x14ac:dyDescent="0.2">
      <c r="A5" t="str">
        <f>"Standard"</f>
        <v>Standard</v>
      </c>
      <c r="B5" t="str">
        <f>"NPOC"</f>
        <v>NPOC</v>
      </c>
      <c r="C5" t="str">
        <f>"C_cal_100ppm"</f>
        <v>C_cal_100ppm</v>
      </c>
      <c r="D5" t="str">
        <f>"C_cal_100ppm"</f>
        <v>C_cal_100ppm</v>
      </c>
      <c r="E5" t="str">
        <f>"C:\TOC3201\CalCurves\Itamar\C_cal_100ppm_acid_laurel.2019_08_15_10_24_40.cal"</f>
        <v>C:\TOC3201\CalCurves\Itamar\C_cal_100ppm_acid_laurel.2019_08_15_10_24_40.cal</v>
      </c>
      <c r="F5" t="str">
        <f>""</f>
        <v/>
      </c>
      <c r="G5">
        <v>1</v>
      </c>
      <c r="H5" t="str">
        <f>""</f>
        <v/>
      </c>
      <c r="I5" t="str">
        <f>"8/15/2019 10:44:09 AM"</f>
        <v>8/15/2019 10:44:09 AM</v>
      </c>
      <c r="J5" t="str">
        <f>"1"</f>
        <v>1</v>
      </c>
      <c r="K5" t="str">
        <f>"4"</f>
        <v>4</v>
      </c>
      <c r="L5" t="str">
        <f>"NPOC"</f>
        <v>NPOC</v>
      </c>
      <c r="M5" t="str">
        <f>"8.862"</f>
        <v>8.862</v>
      </c>
      <c r="N5" t="str">
        <f>"2.000"</f>
        <v>2.000</v>
      </c>
      <c r="O5" t="str">
        <f>" "</f>
        <v xml:space="preserve"> </v>
      </c>
      <c r="P5">
        <v>0</v>
      </c>
      <c r="Q5" t="str">
        <f>"80"</f>
        <v>80</v>
      </c>
    </row>
    <row r="6" spans="1:17" x14ac:dyDescent="0.2">
      <c r="A6" t="str">
        <f>"Standard"</f>
        <v>Standard</v>
      </c>
      <c r="B6" t="str">
        <f>"NPOC"</f>
        <v>NPOC</v>
      </c>
      <c r="C6" t="str">
        <f>"C_cal_100ppm"</f>
        <v>C_cal_100ppm</v>
      </c>
      <c r="D6" t="str">
        <f>"C_cal_100ppm"</f>
        <v>C_cal_100ppm</v>
      </c>
      <c r="E6" t="str">
        <f>"C:\TOC3201\CalCurves\Itamar\C_cal_100ppm_acid_laurel.2019_08_15_10_24_40.cal"</f>
        <v>C:\TOC3201\CalCurves\Itamar\C_cal_100ppm_acid_laurel.2019_08_15_10_24_40.cal</v>
      </c>
      <c r="F6" t="str">
        <f>""</f>
        <v/>
      </c>
      <c r="G6">
        <v>1</v>
      </c>
      <c r="H6" t="str">
        <f>""</f>
        <v/>
      </c>
      <c r="I6" t="str">
        <f>"8/15/2019 10:47:19 AM"</f>
        <v>8/15/2019 10:47:19 AM</v>
      </c>
      <c r="J6" t="str">
        <f>"1"</f>
        <v>1</v>
      </c>
      <c r="K6" t="str">
        <f>"5"</f>
        <v>5</v>
      </c>
      <c r="L6" t="str">
        <f>"NPOC"</f>
        <v>NPOC</v>
      </c>
      <c r="M6" t="str">
        <f>"8.765"</f>
        <v>8.765</v>
      </c>
      <c r="N6" t="str">
        <f>"2.000"</f>
        <v>2.000</v>
      </c>
      <c r="O6" t="str">
        <f>" "</f>
        <v xml:space="preserve"> </v>
      </c>
      <c r="P6">
        <v>0</v>
      </c>
      <c r="Q6" t="str">
        <f>"80"</f>
        <v>80</v>
      </c>
    </row>
    <row r="7" spans="1:17" x14ac:dyDescent="0.2">
      <c r="A7" t="str">
        <f>"Standard"</f>
        <v>Standard</v>
      </c>
      <c r="B7" t="str">
        <f>"NPOC"</f>
        <v>NPOC</v>
      </c>
      <c r="C7" t="str">
        <f>"C_cal_100ppm"</f>
        <v>C_cal_100ppm</v>
      </c>
      <c r="D7" t="str">
        <f>"C_cal_100ppm"</f>
        <v>C_cal_100ppm</v>
      </c>
      <c r="E7" t="str">
        <f>"C:\TOC3201\CalCurves\Itamar\C_cal_100ppm_acid_laurel.2019_08_15_10_24_40.cal"</f>
        <v>C:\TOC3201\CalCurves\Itamar\C_cal_100ppm_acid_laurel.2019_08_15_10_24_40.cal</v>
      </c>
      <c r="F7" t="str">
        <f>""</f>
        <v/>
      </c>
      <c r="G7">
        <v>1</v>
      </c>
      <c r="H7" t="str">
        <f>""</f>
        <v/>
      </c>
      <c r="I7" t="str">
        <f>"8/15/2019 10:56:47 AM"</f>
        <v>8/15/2019 10:56:47 AM</v>
      </c>
      <c r="J7" t="str">
        <f>"2"</f>
        <v>2</v>
      </c>
      <c r="K7" t="str">
        <f>"1"</f>
        <v>1</v>
      </c>
      <c r="L7" t="str">
        <f>"NPOC"</f>
        <v>NPOC</v>
      </c>
      <c r="M7" t="str">
        <f>"24.57"</f>
        <v>24.57</v>
      </c>
      <c r="N7" t="str">
        <f>"5.000"</f>
        <v>5.000</v>
      </c>
      <c r="O7" t="str">
        <f>" "</f>
        <v xml:space="preserve"> </v>
      </c>
      <c r="P7">
        <v>0</v>
      </c>
      <c r="Q7" t="str">
        <f>"80"</f>
        <v>80</v>
      </c>
    </row>
    <row r="8" spans="1:17" x14ac:dyDescent="0.2">
      <c r="A8" t="str">
        <f>"Standard"</f>
        <v>Standard</v>
      </c>
      <c r="B8" t="str">
        <f>"NPOC"</f>
        <v>NPOC</v>
      </c>
      <c r="C8" t="str">
        <f>"C_cal_100ppm"</f>
        <v>C_cal_100ppm</v>
      </c>
      <c r="D8" t="str">
        <f>"C_cal_100ppm"</f>
        <v>C_cal_100ppm</v>
      </c>
      <c r="E8" t="str">
        <f>"C:\TOC3201\CalCurves\Itamar\C_cal_100ppm_acid_laurel.2019_08_15_10_24_40.cal"</f>
        <v>C:\TOC3201\CalCurves\Itamar\C_cal_100ppm_acid_laurel.2019_08_15_10_24_40.cal</v>
      </c>
      <c r="F8" t="str">
        <f>""</f>
        <v/>
      </c>
      <c r="G8">
        <v>1</v>
      </c>
      <c r="H8" t="str">
        <f>""</f>
        <v/>
      </c>
      <c r="I8" t="str">
        <f>"8/15/2019 11:00:07 AM"</f>
        <v>8/15/2019 11:00:07 AM</v>
      </c>
      <c r="J8" t="str">
        <f>"2"</f>
        <v>2</v>
      </c>
      <c r="K8" t="str">
        <f>"2"</f>
        <v>2</v>
      </c>
      <c r="L8" t="str">
        <f>"NPOC"</f>
        <v>NPOC</v>
      </c>
      <c r="M8" t="str">
        <f>"23.17"</f>
        <v>23.17</v>
      </c>
      <c r="N8" t="str">
        <f>"5.000"</f>
        <v>5.000</v>
      </c>
      <c r="O8" t="str">
        <f>" "</f>
        <v xml:space="preserve"> </v>
      </c>
      <c r="P8">
        <v>1</v>
      </c>
      <c r="Q8" t="str">
        <f>"80"</f>
        <v>80</v>
      </c>
    </row>
    <row r="9" spans="1:17" x14ac:dyDescent="0.2">
      <c r="A9" t="str">
        <f>"Standard"</f>
        <v>Standard</v>
      </c>
      <c r="B9" t="str">
        <f>"NPOC"</f>
        <v>NPOC</v>
      </c>
      <c r="C9" t="str">
        <f>"C_cal_100ppm"</f>
        <v>C_cal_100ppm</v>
      </c>
      <c r="D9" t="str">
        <f>"C_cal_100ppm"</f>
        <v>C_cal_100ppm</v>
      </c>
      <c r="E9" t="str">
        <f>"C:\TOC3201\CalCurves\Itamar\C_cal_100ppm_acid_laurel.2019_08_15_10_24_40.cal"</f>
        <v>C:\TOC3201\CalCurves\Itamar\C_cal_100ppm_acid_laurel.2019_08_15_10_24_40.cal</v>
      </c>
      <c r="F9" t="str">
        <f>""</f>
        <v/>
      </c>
      <c r="G9">
        <v>1</v>
      </c>
      <c r="H9" t="str">
        <f>""</f>
        <v/>
      </c>
      <c r="I9" t="str">
        <f>"8/15/2019 11:03:39 AM"</f>
        <v>8/15/2019 11:03:39 AM</v>
      </c>
      <c r="J9" t="str">
        <f>"2"</f>
        <v>2</v>
      </c>
      <c r="K9" t="str">
        <f>"3"</f>
        <v>3</v>
      </c>
      <c r="L9" t="str">
        <f>"NPOC"</f>
        <v>NPOC</v>
      </c>
      <c r="M9" t="str">
        <f>"25.00"</f>
        <v>25.00</v>
      </c>
      <c r="N9" t="str">
        <f>"5.000"</f>
        <v>5.000</v>
      </c>
      <c r="O9" t="str">
        <f>" "</f>
        <v xml:space="preserve"> </v>
      </c>
      <c r="P9">
        <v>0</v>
      </c>
      <c r="Q9" t="str">
        <f>"80"</f>
        <v>80</v>
      </c>
    </row>
    <row r="10" spans="1:17" x14ac:dyDescent="0.2">
      <c r="A10" t="str">
        <f>"Standard"</f>
        <v>Standard</v>
      </c>
      <c r="B10" t="str">
        <f>"NPOC"</f>
        <v>NPOC</v>
      </c>
      <c r="C10" t="str">
        <f>"C_cal_100ppm"</f>
        <v>C_cal_100ppm</v>
      </c>
      <c r="D10" t="str">
        <f>"C_cal_100ppm"</f>
        <v>C_cal_100ppm</v>
      </c>
      <c r="E10" t="str">
        <f>"C:\TOC3201\CalCurves\Itamar\C_cal_100ppm_acid_laurel.2019_08_15_10_24_40.cal"</f>
        <v>C:\TOC3201\CalCurves\Itamar\C_cal_100ppm_acid_laurel.2019_08_15_10_24_40.cal</v>
      </c>
      <c r="F10" t="str">
        <f>""</f>
        <v/>
      </c>
      <c r="G10">
        <v>1</v>
      </c>
      <c r="H10" t="str">
        <f>""</f>
        <v/>
      </c>
      <c r="I10" t="str">
        <f>"8/15/2019 11:06:49 AM"</f>
        <v>8/15/2019 11:06:49 AM</v>
      </c>
      <c r="J10" t="str">
        <f>"2"</f>
        <v>2</v>
      </c>
      <c r="K10" t="str">
        <f>"4"</f>
        <v>4</v>
      </c>
      <c r="L10" t="str">
        <f>"NPOC"</f>
        <v>NPOC</v>
      </c>
      <c r="M10" t="str">
        <f>"24.21"</f>
        <v>24.21</v>
      </c>
      <c r="N10" t="str">
        <f>"5.000"</f>
        <v>5.000</v>
      </c>
      <c r="O10" t="str">
        <f>" "</f>
        <v xml:space="preserve"> </v>
      </c>
      <c r="P10">
        <v>0</v>
      </c>
      <c r="Q10" t="str">
        <f>"80"</f>
        <v>80</v>
      </c>
    </row>
    <row r="11" spans="1:17" x14ac:dyDescent="0.2">
      <c r="A11" t="str">
        <f>"Standard"</f>
        <v>Standard</v>
      </c>
      <c r="B11" t="str">
        <f>"NPOC"</f>
        <v>NPOC</v>
      </c>
      <c r="C11" t="str">
        <f>"C_cal_100ppm"</f>
        <v>C_cal_100ppm</v>
      </c>
      <c r="D11" t="str">
        <f>"C_cal_100ppm"</f>
        <v>C_cal_100ppm</v>
      </c>
      <c r="E11" t="str">
        <f>"C:\TOC3201\CalCurves\Itamar\C_cal_100ppm_acid_laurel.2019_08_15_10_24_40.cal"</f>
        <v>C:\TOC3201\CalCurves\Itamar\C_cal_100ppm_acid_laurel.2019_08_15_10_24_40.cal</v>
      </c>
      <c r="F11" t="str">
        <f>""</f>
        <v/>
      </c>
      <c r="G11">
        <v>1</v>
      </c>
      <c r="H11" t="str">
        <f>""</f>
        <v/>
      </c>
      <c r="I11" t="str">
        <f>"8/15/2019 11:15:37 AM"</f>
        <v>8/15/2019 11:15:37 AM</v>
      </c>
      <c r="J11" t="str">
        <f>"3"</f>
        <v>3</v>
      </c>
      <c r="K11" t="str">
        <f>"1"</f>
        <v>1</v>
      </c>
      <c r="L11" t="str">
        <f>"NPOC"</f>
        <v>NPOC</v>
      </c>
      <c r="M11" t="str">
        <f>"47.04"</f>
        <v>47.04</v>
      </c>
      <c r="N11" t="str">
        <f>"10.00"</f>
        <v>10.00</v>
      </c>
      <c r="O11" t="str">
        <f>" "</f>
        <v xml:space="preserve"> </v>
      </c>
      <c r="P11">
        <v>0</v>
      </c>
      <c r="Q11" t="str">
        <f>"80"</f>
        <v>80</v>
      </c>
    </row>
    <row r="12" spans="1:17" x14ac:dyDescent="0.2">
      <c r="A12" t="str">
        <f>"Standard"</f>
        <v>Standard</v>
      </c>
      <c r="B12" t="str">
        <f>"NPOC"</f>
        <v>NPOC</v>
      </c>
      <c r="C12" t="str">
        <f>"C_cal_100ppm"</f>
        <v>C_cal_100ppm</v>
      </c>
      <c r="D12" t="str">
        <f>"C_cal_100ppm"</f>
        <v>C_cal_100ppm</v>
      </c>
      <c r="E12" t="str">
        <f>"C:\TOC3201\CalCurves\Itamar\C_cal_100ppm_acid_laurel.2019_08_15_10_24_40.cal"</f>
        <v>C:\TOC3201\CalCurves\Itamar\C_cal_100ppm_acid_laurel.2019_08_15_10_24_40.cal</v>
      </c>
      <c r="F12" t="str">
        <f>""</f>
        <v/>
      </c>
      <c r="G12">
        <v>1</v>
      </c>
      <c r="H12" t="str">
        <f>""</f>
        <v/>
      </c>
      <c r="I12" t="str">
        <f>"8/15/2019 11:18:54 AM"</f>
        <v>8/15/2019 11:18:54 AM</v>
      </c>
      <c r="J12" t="str">
        <f>"3"</f>
        <v>3</v>
      </c>
      <c r="K12" t="str">
        <f>"2"</f>
        <v>2</v>
      </c>
      <c r="L12" t="str">
        <f>"NPOC"</f>
        <v>NPOC</v>
      </c>
      <c r="M12" t="str">
        <f>"47.14"</f>
        <v>47.14</v>
      </c>
      <c r="N12" t="str">
        <f>"10.00"</f>
        <v>10.00</v>
      </c>
      <c r="O12" t="str">
        <f>" "</f>
        <v xml:space="preserve"> </v>
      </c>
      <c r="P12">
        <v>0</v>
      </c>
      <c r="Q12" t="str">
        <f>"80"</f>
        <v>80</v>
      </c>
    </row>
    <row r="13" spans="1:17" x14ac:dyDescent="0.2">
      <c r="A13" t="str">
        <f>"Standard"</f>
        <v>Standard</v>
      </c>
      <c r="B13" t="str">
        <f>"NPOC"</f>
        <v>NPOC</v>
      </c>
      <c r="C13" t="str">
        <f>"C_cal_100ppm"</f>
        <v>C_cal_100ppm</v>
      </c>
      <c r="D13" t="str">
        <f>"C_cal_100ppm"</f>
        <v>C_cal_100ppm</v>
      </c>
      <c r="E13" t="str">
        <f>"C:\TOC3201\CalCurves\Itamar\C_cal_100ppm_acid_laurel.2019_08_15_10_24_40.cal"</f>
        <v>C:\TOC3201\CalCurves\Itamar\C_cal_100ppm_acid_laurel.2019_08_15_10_24_40.cal</v>
      </c>
      <c r="F13" t="str">
        <f>""</f>
        <v/>
      </c>
      <c r="G13">
        <v>1</v>
      </c>
      <c r="H13" t="str">
        <f>""</f>
        <v/>
      </c>
      <c r="I13" t="str">
        <f>"8/15/2019 11:22:11 AM"</f>
        <v>8/15/2019 11:22:11 AM</v>
      </c>
      <c r="J13" t="str">
        <f>"3"</f>
        <v>3</v>
      </c>
      <c r="K13" t="str">
        <f>"3"</f>
        <v>3</v>
      </c>
      <c r="L13" t="str">
        <f>"NPOC"</f>
        <v>NPOC</v>
      </c>
      <c r="M13" t="str">
        <f>"48.72"</f>
        <v>48.72</v>
      </c>
      <c r="N13" t="str">
        <f>"10.00"</f>
        <v>10.00</v>
      </c>
      <c r="O13" t="str">
        <f>" "</f>
        <v xml:space="preserve"> </v>
      </c>
      <c r="P13">
        <v>0</v>
      </c>
      <c r="Q13" t="str">
        <f>"80"</f>
        <v>80</v>
      </c>
    </row>
    <row r="14" spans="1:17" x14ac:dyDescent="0.2">
      <c r="A14" t="str">
        <f>"Standard"</f>
        <v>Standard</v>
      </c>
      <c r="B14" t="str">
        <f>"NPOC"</f>
        <v>NPOC</v>
      </c>
      <c r="C14" t="str">
        <f>"C_cal_100ppm"</f>
        <v>C_cal_100ppm</v>
      </c>
      <c r="D14" t="str">
        <f>"C_cal_100ppm"</f>
        <v>C_cal_100ppm</v>
      </c>
      <c r="E14" t="str">
        <f>"C:\TOC3201\CalCurves\Itamar\C_cal_100ppm_acid_laurel.2019_08_15_10_24_40.cal"</f>
        <v>C:\TOC3201\CalCurves\Itamar\C_cal_100ppm_acid_laurel.2019_08_15_10_24_40.cal</v>
      </c>
      <c r="F14" t="str">
        <f>""</f>
        <v/>
      </c>
      <c r="G14">
        <v>1</v>
      </c>
      <c r="H14" t="str">
        <f>""</f>
        <v/>
      </c>
      <c r="I14" t="str">
        <f>"8/15/2019 11:31:21 AM"</f>
        <v>8/15/2019 11:31:21 AM</v>
      </c>
      <c r="J14" t="str">
        <f>"4"</f>
        <v>4</v>
      </c>
      <c r="K14" t="str">
        <f>"1"</f>
        <v>1</v>
      </c>
      <c r="L14" t="str">
        <f>"NPOC"</f>
        <v>NPOC</v>
      </c>
      <c r="M14" t="str">
        <f>"95.64"</f>
        <v>95.64</v>
      </c>
      <c r="N14" t="str">
        <f>"20.00"</f>
        <v>20.00</v>
      </c>
      <c r="O14" t="str">
        <f>" "</f>
        <v xml:space="preserve"> </v>
      </c>
      <c r="P14">
        <v>0</v>
      </c>
      <c r="Q14" t="str">
        <f>"80"</f>
        <v>80</v>
      </c>
    </row>
    <row r="15" spans="1:17" x14ac:dyDescent="0.2">
      <c r="A15" t="str">
        <f>"Standard"</f>
        <v>Standard</v>
      </c>
      <c r="B15" t="str">
        <f>"NPOC"</f>
        <v>NPOC</v>
      </c>
      <c r="C15" t="str">
        <f>"C_cal_100ppm"</f>
        <v>C_cal_100ppm</v>
      </c>
      <c r="D15" t="str">
        <f>"C_cal_100ppm"</f>
        <v>C_cal_100ppm</v>
      </c>
      <c r="E15" t="str">
        <f>"C:\TOC3201\CalCurves\Itamar\C_cal_100ppm_acid_laurel.2019_08_15_10_24_40.cal"</f>
        <v>C:\TOC3201\CalCurves\Itamar\C_cal_100ppm_acid_laurel.2019_08_15_10_24_40.cal</v>
      </c>
      <c r="F15" t="str">
        <f>""</f>
        <v/>
      </c>
      <c r="G15">
        <v>1</v>
      </c>
      <c r="H15" t="str">
        <f>""</f>
        <v/>
      </c>
      <c r="I15" t="str">
        <f>"8/15/2019 11:34:42 AM"</f>
        <v>8/15/2019 11:34:42 AM</v>
      </c>
      <c r="J15" t="str">
        <f>"4"</f>
        <v>4</v>
      </c>
      <c r="K15" t="str">
        <f>"2"</f>
        <v>2</v>
      </c>
      <c r="L15" t="str">
        <f>"NPOC"</f>
        <v>NPOC</v>
      </c>
      <c r="M15" t="str">
        <f>"92.45"</f>
        <v>92.45</v>
      </c>
      <c r="N15" t="str">
        <f>"20.00"</f>
        <v>20.00</v>
      </c>
      <c r="O15" t="str">
        <f>" "</f>
        <v xml:space="preserve"> </v>
      </c>
      <c r="P15">
        <v>1</v>
      </c>
      <c r="Q15" t="str">
        <f>"80"</f>
        <v>80</v>
      </c>
    </row>
    <row r="16" spans="1:17" x14ac:dyDescent="0.2">
      <c r="A16" t="str">
        <f>"Standard"</f>
        <v>Standard</v>
      </c>
      <c r="B16" t="str">
        <f>"NPOC"</f>
        <v>NPOC</v>
      </c>
      <c r="C16" t="str">
        <f>"C_cal_100ppm"</f>
        <v>C_cal_100ppm</v>
      </c>
      <c r="D16" t="str">
        <f>"C_cal_100ppm"</f>
        <v>C_cal_100ppm</v>
      </c>
      <c r="E16" t="str">
        <f>"C:\TOC3201\CalCurves\Itamar\C_cal_100ppm_acid_laurel.2019_08_15_10_24_40.cal"</f>
        <v>C:\TOC3201\CalCurves\Itamar\C_cal_100ppm_acid_laurel.2019_08_15_10_24_40.cal</v>
      </c>
      <c r="F16" t="str">
        <f>""</f>
        <v/>
      </c>
      <c r="G16">
        <v>1</v>
      </c>
      <c r="H16" t="str">
        <f>""</f>
        <v/>
      </c>
      <c r="I16" t="str">
        <f>"8/15/2019 11:38:16 AM"</f>
        <v>8/15/2019 11:38:16 AM</v>
      </c>
      <c r="J16" t="str">
        <f>"4"</f>
        <v>4</v>
      </c>
      <c r="K16" t="str">
        <f>"3"</f>
        <v>3</v>
      </c>
      <c r="L16" t="str">
        <f>"NPOC"</f>
        <v>NPOC</v>
      </c>
      <c r="M16" t="str">
        <f>"97.20"</f>
        <v>97.20</v>
      </c>
      <c r="N16" t="str">
        <f>"20.00"</f>
        <v>20.00</v>
      </c>
      <c r="O16" t="str">
        <f>" "</f>
        <v xml:space="preserve"> </v>
      </c>
      <c r="P16">
        <v>0</v>
      </c>
      <c r="Q16" t="str">
        <f>"80"</f>
        <v>80</v>
      </c>
    </row>
    <row r="17" spans="1:17" x14ac:dyDescent="0.2">
      <c r="A17" t="str">
        <f>"Standard"</f>
        <v>Standard</v>
      </c>
      <c r="B17" t="str">
        <f>"NPOC"</f>
        <v>NPOC</v>
      </c>
      <c r="C17" t="str">
        <f>"C_cal_100ppm"</f>
        <v>C_cal_100ppm</v>
      </c>
      <c r="D17" t="str">
        <f>"C_cal_100ppm"</f>
        <v>C_cal_100ppm</v>
      </c>
      <c r="E17" t="str">
        <f>"C:\TOC3201\CalCurves\Itamar\C_cal_100ppm_acid_laurel.2019_08_15_10_24_40.cal"</f>
        <v>C:\TOC3201\CalCurves\Itamar\C_cal_100ppm_acid_laurel.2019_08_15_10_24_40.cal</v>
      </c>
      <c r="F17" t="str">
        <f>""</f>
        <v/>
      </c>
      <c r="G17">
        <v>1</v>
      </c>
      <c r="H17" t="str">
        <f>""</f>
        <v/>
      </c>
      <c r="I17" t="str">
        <f>"8/15/2019 11:41:49 AM"</f>
        <v>8/15/2019 11:41:49 AM</v>
      </c>
      <c r="J17" t="str">
        <f>"4"</f>
        <v>4</v>
      </c>
      <c r="K17" t="str">
        <f>"4"</f>
        <v>4</v>
      </c>
      <c r="L17" t="str">
        <f>"NPOC"</f>
        <v>NPOC</v>
      </c>
      <c r="M17" t="str">
        <f>"97.05"</f>
        <v>97.05</v>
      </c>
      <c r="N17" t="str">
        <f>"20.00"</f>
        <v>20.00</v>
      </c>
      <c r="O17" t="str">
        <f>" "</f>
        <v xml:space="preserve"> </v>
      </c>
      <c r="P17">
        <v>0</v>
      </c>
      <c r="Q17" t="str">
        <f>"80"</f>
        <v>80</v>
      </c>
    </row>
    <row r="18" spans="1:17" x14ac:dyDescent="0.2">
      <c r="A18" t="str">
        <f>"Standard"</f>
        <v>Standard</v>
      </c>
      <c r="B18" t="str">
        <f>"NPOC"</f>
        <v>NPOC</v>
      </c>
      <c r="C18" t="str">
        <f>"C_cal_100ppm"</f>
        <v>C_cal_100ppm</v>
      </c>
      <c r="D18" t="str">
        <f>"C_cal_100ppm"</f>
        <v>C_cal_100ppm</v>
      </c>
      <c r="E18" t="str">
        <f>"C:\TOC3201\CalCurves\Itamar\C_cal_100ppm_acid_laurel.2019_08_15_10_24_40.cal"</f>
        <v>C:\TOC3201\CalCurves\Itamar\C_cal_100ppm_acid_laurel.2019_08_15_10_24_40.cal</v>
      </c>
      <c r="F18" t="str">
        <f>""</f>
        <v/>
      </c>
      <c r="G18">
        <v>1</v>
      </c>
      <c r="H18" t="str">
        <f>""</f>
        <v/>
      </c>
      <c r="I18" t="str">
        <f>"8/15/2019 11:50:45 AM"</f>
        <v>8/15/2019 11:50:45 AM</v>
      </c>
      <c r="J18" t="str">
        <f>"5"</f>
        <v>5</v>
      </c>
      <c r="K18" t="str">
        <f>"1"</f>
        <v>1</v>
      </c>
      <c r="L18" t="str">
        <f>"NPOC"</f>
        <v>NPOC</v>
      </c>
      <c r="M18" t="str">
        <f>"243.7"</f>
        <v>243.7</v>
      </c>
      <c r="N18" t="str">
        <f>"50.00"</f>
        <v>50.00</v>
      </c>
      <c r="O18" t="str">
        <f>" "</f>
        <v xml:space="preserve"> </v>
      </c>
      <c r="P18">
        <v>0</v>
      </c>
      <c r="Q18" t="str">
        <f>"80"</f>
        <v>80</v>
      </c>
    </row>
    <row r="19" spans="1:17" x14ac:dyDescent="0.2">
      <c r="A19" t="str">
        <f>"Standard"</f>
        <v>Standard</v>
      </c>
      <c r="B19" t="str">
        <f>"NPOC"</f>
        <v>NPOC</v>
      </c>
      <c r="C19" t="str">
        <f>"C_cal_100ppm"</f>
        <v>C_cal_100ppm</v>
      </c>
      <c r="D19" t="str">
        <f>"C_cal_100ppm"</f>
        <v>C_cal_100ppm</v>
      </c>
      <c r="E19" t="str">
        <f>"C:\TOC3201\CalCurves\Itamar\C_cal_100ppm_acid_laurel.2019_08_15_10_24_40.cal"</f>
        <v>C:\TOC3201\CalCurves\Itamar\C_cal_100ppm_acid_laurel.2019_08_15_10_24_40.cal</v>
      </c>
      <c r="F19" t="str">
        <f>""</f>
        <v/>
      </c>
      <c r="G19">
        <v>1</v>
      </c>
      <c r="H19" t="str">
        <f>""</f>
        <v/>
      </c>
      <c r="I19" t="str">
        <f>"8/15/2019 11:54:17 AM"</f>
        <v>8/15/2019 11:54:17 AM</v>
      </c>
      <c r="J19" t="str">
        <f>"5"</f>
        <v>5</v>
      </c>
      <c r="K19" t="str">
        <f>"2"</f>
        <v>2</v>
      </c>
      <c r="L19" t="str">
        <f>"NPOC"</f>
        <v>NPOC</v>
      </c>
      <c r="M19" t="str">
        <f>"234.1"</f>
        <v>234.1</v>
      </c>
      <c r="N19" t="str">
        <f>"50.00"</f>
        <v>50.00</v>
      </c>
      <c r="O19" t="str">
        <f>" "</f>
        <v xml:space="preserve"> </v>
      </c>
      <c r="P19">
        <v>1</v>
      </c>
      <c r="Q19" t="str">
        <f>"80"</f>
        <v>80</v>
      </c>
    </row>
    <row r="20" spans="1:17" x14ac:dyDescent="0.2">
      <c r="A20" t="str">
        <f>"Standard"</f>
        <v>Standard</v>
      </c>
      <c r="B20" t="str">
        <f>"NPOC"</f>
        <v>NPOC</v>
      </c>
      <c r="C20" t="str">
        <f>"C_cal_100ppm"</f>
        <v>C_cal_100ppm</v>
      </c>
      <c r="D20" t="str">
        <f>"C_cal_100ppm"</f>
        <v>C_cal_100ppm</v>
      </c>
      <c r="E20" t="str">
        <f>"C:\TOC3201\CalCurves\Itamar\C_cal_100ppm_acid_laurel.2019_08_15_10_24_40.cal"</f>
        <v>C:\TOC3201\CalCurves\Itamar\C_cal_100ppm_acid_laurel.2019_08_15_10_24_40.cal</v>
      </c>
      <c r="F20" t="str">
        <f>""</f>
        <v/>
      </c>
      <c r="G20">
        <v>1</v>
      </c>
      <c r="H20" t="str">
        <f>""</f>
        <v/>
      </c>
      <c r="I20" t="str">
        <f>"8/15/2019 11:57:51 AM"</f>
        <v>8/15/2019 11:57:51 AM</v>
      </c>
      <c r="J20" t="str">
        <f>"5"</f>
        <v>5</v>
      </c>
      <c r="K20" t="str">
        <f>"3"</f>
        <v>3</v>
      </c>
      <c r="L20" t="str">
        <f>"NPOC"</f>
        <v>NPOC</v>
      </c>
      <c r="M20" t="str">
        <f>"244.9"</f>
        <v>244.9</v>
      </c>
      <c r="N20" t="str">
        <f>"50.00"</f>
        <v>50.00</v>
      </c>
      <c r="O20" t="str">
        <f>" "</f>
        <v xml:space="preserve"> </v>
      </c>
      <c r="P20">
        <v>0</v>
      </c>
      <c r="Q20" t="str">
        <f>"80"</f>
        <v>80</v>
      </c>
    </row>
    <row r="21" spans="1:17" x14ac:dyDescent="0.2">
      <c r="A21" t="str">
        <f>"Standard"</f>
        <v>Standard</v>
      </c>
      <c r="B21" t="str">
        <f>"NPOC"</f>
        <v>NPOC</v>
      </c>
      <c r="C21" t="str">
        <f>"C_cal_100ppm"</f>
        <v>C_cal_100ppm</v>
      </c>
      <c r="D21" t="str">
        <f>"C_cal_100ppm"</f>
        <v>C_cal_100ppm</v>
      </c>
      <c r="E21" t="str">
        <f>"C:\TOC3201\CalCurves\Itamar\C_cal_100ppm_acid_laurel.2019_08_15_10_24_40.cal"</f>
        <v>C:\TOC3201\CalCurves\Itamar\C_cal_100ppm_acid_laurel.2019_08_15_10_24_40.cal</v>
      </c>
      <c r="F21" t="str">
        <f>""</f>
        <v/>
      </c>
      <c r="G21">
        <v>1</v>
      </c>
      <c r="H21" t="str">
        <f>""</f>
        <v/>
      </c>
      <c r="I21" t="str">
        <f>"8/15/2019 12:01:27 PM"</f>
        <v>8/15/2019 12:01:27 PM</v>
      </c>
      <c r="J21" t="str">
        <f>"5"</f>
        <v>5</v>
      </c>
      <c r="K21" t="str">
        <f>"4"</f>
        <v>4</v>
      </c>
      <c r="L21" t="str">
        <f>"NPOC"</f>
        <v>NPOC</v>
      </c>
      <c r="M21" t="str">
        <f>"247.8"</f>
        <v>247.8</v>
      </c>
      <c r="N21" t="str">
        <f>"50.00"</f>
        <v>50.00</v>
      </c>
      <c r="O21" t="str">
        <f>" "</f>
        <v xml:space="preserve"> </v>
      </c>
      <c r="P21">
        <v>0</v>
      </c>
      <c r="Q21" t="str">
        <f>"80"</f>
        <v>80</v>
      </c>
    </row>
    <row r="22" spans="1:17" x14ac:dyDescent="0.2">
      <c r="A22" t="str">
        <f>"Standard"</f>
        <v>Standard</v>
      </c>
      <c r="B22" t="str">
        <f>"NPOC"</f>
        <v>NPOC</v>
      </c>
      <c r="C22" t="str">
        <f>"C_cal_100ppm"</f>
        <v>C_cal_100ppm</v>
      </c>
      <c r="D22" t="str">
        <f>"C_cal_100ppm"</f>
        <v>C_cal_100ppm</v>
      </c>
      <c r="E22" t="str">
        <f>"C:\TOC3201\CalCurves\Itamar\C_cal_100ppm_acid_laurel.2019_08_15_10_24_40.cal"</f>
        <v>C:\TOC3201\CalCurves\Itamar\C_cal_100ppm_acid_laurel.2019_08_15_10_24_40.cal</v>
      </c>
      <c r="F22" t="str">
        <f>""</f>
        <v/>
      </c>
      <c r="G22">
        <v>1</v>
      </c>
      <c r="H22" t="str">
        <f>""</f>
        <v/>
      </c>
      <c r="I22" t="str">
        <f>"8/15/2019 12:09:54 PM"</f>
        <v>8/15/2019 12:09:54 PM</v>
      </c>
      <c r="J22" t="str">
        <f>"6"</f>
        <v>6</v>
      </c>
      <c r="K22" t="str">
        <f>"1"</f>
        <v>1</v>
      </c>
      <c r="L22" t="str">
        <f>"NPOC"</f>
        <v>NPOC</v>
      </c>
      <c r="M22" t="str">
        <f>"492.6"</f>
        <v>492.6</v>
      </c>
      <c r="N22" t="str">
        <f>"100.0"</f>
        <v>100.0</v>
      </c>
      <c r="O22" t="str">
        <f>" "</f>
        <v xml:space="preserve"> </v>
      </c>
      <c r="P22">
        <v>0</v>
      </c>
      <c r="Q22" t="str">
        <f>"80"</f>
        <v>80</v>
      </c>
    </row>
    <row r="23" spans="1:17" x14ac:dyDescent="0.2">
      <c r="A23" t="str">
        <f>"Standard"</f>
        <v>Standard</v>
      </c>
      <c r="B23" t="str">
        <f>"NPOC"</f>
        <v>NPOC</v>
      </c>
      <c r="C23" t="str">
        <f>"C_cal_100ppm"</f>
        <v>C_cal_100ppm</v>
      </c>
      <c r="D23" t="str">
        <f>"C_cal_100ppm"</f>
        <v>C_cal_100ppm</v>
      </c>
      <c r="E23" t="str">
        <f>"C:\TOC3201\CalCurves\Itamar\C_cal_100ppm_acid_laurel.2019_08_15_10_24_40.cal"</f>
        <v>C:\TOC3201\CalCurves\Itamar\C_cal_100ppm_acid_laurel.2019_08_15_10_24_40.cal</v>
      </c>
      <c r="F23" t="str">
        <f>""</f>
        <v/>
      </c>
      <c r="G23">
        <v>1</v>
      </c>
      <c r="H23" t="str">
        <f>""</f>
        <v/>
      </c>
      <c r="I23" t="str">
        <f>"8/15/2019 12:13:29 PM"</f>
        <v>8/15/2019 12:13:29 PM</v>
      </c>
      <c r="J23" t="str">
        <f>"6"</f>
        <v>6</v>
      </c>
      <c r="K23" t="str">
        <f>"2"</f>
        <v>2</v>
      </c>
      <c r="L23" t="str">
        <f>"NPOC"</f>
        <v>NPOC</v>
      </c>
      <c r="M23" t="str">
        <f>"481.3"</f>
        <v>481.3</v>
      </c>
      <c r="N23" t="str">
        <f>"100.0"</f>
        <v>100.0</v>
      </c>
      <c r="O23" t="str">
        <f>" "</f>
        <v xml:space="preserve"> </v>
      </c>
      <c r="P23">
        <v>0</v>
      </c>
      <c r="Q23" t="str">
        <f>"80"</f>
        <v>80</v>
      </c>
    </row>
    <row r="24" spans="1:17" x14ac:dyDescent="0.2">
      <c r="A24" t="str">
        <f>"Standard"</f>
        <v>Standard</v>
      </c>
      <c r="B24" t="str">
        <f>"NPOC"</f>
        <v>NPOC</v>
      </c>
      <c r="C24" t="str">
        <f>"C_cal_100ppm"</f>
        <v>C_cal_100ppm</v>
      </c>
      <c r="D24" t="str">
        <f>"C_cal_100ppm"</f>
        <v>C_cal_100ppm</v>
      </c>
      <c r="E24" t="str">
        <f>"C:\TOC3201\CalCurves\Itamar\C_cal_100ppm_acid_laurel.2019_08_15_10_24_40.cal"</f>
        <v>C:\TOC3201\CalCurves\Itamar\C_cal_100ppm_acid_laurel.2019_08_15_10_24_40.cal</v>
      </c>
      <c r="F24" t="str">
        <f>""</f>
        <v/>
      </c>
      <c r="G24">
        <v>1</v>
      </c>
      <c r="H24" t="str">
        <f>""</f>
        <v/>
      </c>
      <c r="I24" t="str">
        <f>"8/15/2019 12:17:04 PM"</f>
        <v>8/15/2019 12:17:04 PM</v>
      </c>
      <c r="J24" t="str">
        <f>"6"</f>
        <v>6</v>
      </c>
      <c r="K24" t="str">
        <f>"3"</f>
        <v>3</v>
      </c>
      <c r="L24" t="str">
        <f>"NPOC"</f>
        <v>NPOC</v>
      </c>
      <c r="M24" t="str">
        <f>"506.8"</f>
        <v>506.8</v>
      </c>
      <c r="N24" t="str">
        <f>"100.0"</f>
        <v>100.0</v>
      </c>
      <c r="O24" t="str">
        <f>" "</f>
        <v xml:space="preserve"> </v>
      </c>
      <c r="P24">
        <v>1</v>
      </c>
      <c r="Q24" t="str">
        <f>"80"</f>
        <v>80</v>
      </c>
    </row>
    <row r="25" spans="1:17" x14ac:dyDescent="0.2">
      <c r="A25" t="str">
        <f>"Standard"</f>
        <v>Standard</v>
      </c>
      <c r="B25" t="str">
        <f>"NPOC"</f>
        <v>NPOC</v>
      </c>
      <c r="C25" t="str">
        <f>"C_cal_100ppm"</f>
        <v>C_cal_100ppm</v>
      </c>
      <c r="D25" t="str">
        <f>"C_cal_100ppm"</f>
        <v>C_cal_100ppm</v>
      </c>
      <c r="E25" t="str">
        <f>"C:\TOC3201\CalCurves\Itamar\C_cal_100ppm_acid_laurel.2019_08_15_10_24_40.cal"</f>
        <v>C:\TOC3201\CalCurves\Itamar\C_cal_100ppm_acid_laurel.2019_08_15_10_24_40.cal</v>
      </c>
      <c r="F25" t="str">
        <f>""</f>
        <v/>
      </c>
      <c r="G25">
        <v>1</v>
      </c>
      <c r="H25" t="str">
        <f>""</f>
        <v/>
      </c>
      <c r="I25" t="str">
        <f>"8/15/2019 12:20:41 PM"</f>
        <v>8/15/2019 12:20:41 PM</v>
      </c>
      <c r="J25" t="str">
        <f>"6"</f>
        <v>6</v>
      </c>
      <c r="K25" t="str">
        <f>"4"</f>
        <v>4</v>
      </c>
      <c r="L25" t="str">
        <f>"NPOC"</f>
        <v>NPOC</v>
      </c>
      <c r="M25" t="str">
        <f>"483.2"</f>
        <v>483.2</v>
      </c>
      <c r="N25" t="str">
        <f>"100.0"</f>
        <v>100.0</v>
      </c>
      <c r="O25" t="str">
        <f>" "</f>
        <v xml:space="preserve"> </v>
      </c>
      <c r="P25">
        <v>0</v>
      </c>
      <c r="Q25" t="str">
        <f>"80"</f>
        <v>80</v>
      </c>
    </row>
    <row r="26" spans="1:17" x14ac:dyDescent="0.2">
      <c r="A26" t="str">
        <f>"Standard"</f>
        <v>Standard</v>
      </c>
      <c r="B26" t="str">
        <f>"TN"</f>
        <v>TN</v>
      </c>
      <c r="C26" t="str">
        <f>"N_cal_25ppm_acid_laurel"</f>
        <v>N_cal_25ppm_acid_laurel</v>
      </c>
      <c r="D26" t="str">
        <f>"N_cal_25ppm_acid_laurel"</f>
        <v>N_cal_25ppm_acid_laurel</v>
      </c>
      <c r="E26" t="str">
        <f>"C:\TOC3201\CalCurves\Itamar\N_cal_25ppm_acid_laurel.2019_08_15_12_20_41.cal"</f>
        <v>C:\TOC3201\CalCurves\Itamar\N_cal_25ppm_acid_laurel.2019_08_15_12_20_41.cal</v>
      </c>
      <c r="F26" t="str">
        <f>""</f>
        <v/>
      </c>
      <c r="G26">
        <v>1</v>
      </c>
      <c r="H26" t="str">
        <f>""</f>
        <v/>
      </c>
      <c r="I26" t="str">
        <f>"8/15/2019 12:29:55 PM"</f>
        <v>8/15/2019 12:29:55 PM</v>
      </c>
      <c r="J26" t="str">
        <f>"1"</f>
        <v>1</v>
      </c>
      <c r="K26" t="str">
        <f>"1"</f>
        <v>1</v>
      </c>
      <c r="L26" t="str">
        <f>"TN"</f>
        <v>TN</v>
      </c>
      <c r="M26" t="str">
        <f>"2.727"</f>
        <v>2.727</v>
      </c>
      <c r="N26" t="str">
        <f>"0.5000"</f>
        <v>0.5000</v>
      </c>
      <c r="O26" t="str">
        <f>" "</f>
        <v xml:space="preserve"> </v>
      </c>
      <c r="P26">
        <v>1</v>
      </c>
      <c r="Q26" t="str">
        <f>"100"</f>
        <v>100</v>
      </c>
    </row>
    <row r="27" spans="1:17" x14ac:dyDescent="0.2">
      <c r="A27" t="str">
        <f>"Standard"</f>
        <v>Standard</v>
      </c>
      <c r="B27" t="str">
        <f>"TN"</f>
        <v>TN</v>
      </c>
      <c r="C27" t="str">
        <f>"N_cal_25ppm_acid_laurel"</f>
        <v>N_cal_25ppm_acid_laurel</v>
      </c>
      <c r="D27" t="str">
        <f>"N_cal_25ppm_acid_laurel"</f>
        <v>N_cal_25ppm_acid_laurel</v>
      </c>
      <c r="E27" t="str">
        <f>"C:\TOC3201\CalCurves\Itamar\N_cal_25ppm_acid_laurel.2019_08_15_12_20_41.cal"</f>
        <v>C:\TOC3201\CalCurves\Itamar\N_cal_25ppm_acid_laurel.2019_08_15_12_20_41.cal</v>
      </c>
      <c r="F27" t="str">
        <f>""</f>
        <v/>
      </c>
      <c r="G27">
        <v>1</v>
      </c>
      <c r="H27" t="str">
        <f>""</f>
        <v/>
      </c>
      <c r="I27" t="str">
        <f>"8/15/2019 12:33:01 PM"</f>
        <v>8/15/2019 12:33:01 PM</v>
      </c>
      <c r="J27" t="str">
        <f>"1"</f>
        <v>1</v>
      </c>
      <c r="K27" t="str">
        <f>"2"</f>
        <v>2</v>
      </c>
      <c r="L27" t="str">
        <f>"TN"</f>
        <v>TN</v>
      </c>
      <c r="M27" t="str">
        <f>"2.325"</f>
        <v>2.325</v>
      </c>
      <c r="N27" t="str">
        <f>"0.5000"</f>
        <v>0.5000</v>
      </c>
      <c r="O27" t="str">
        <f>" "</f>
        <v xml:space="preserve"> </v>
      </c>
      <c r="P27">
        <v>0</v>
      </c>
      <c r="Q27" t="str">
        <f>"100"</f>
        <v>100</v>
      </c>
    </row>
    <row r="28" spans="1:17" x14ac:dyDescent="0.2">
      <c r="A28" t="str">
        <f>"Standard"</f>
        <v>Standard</v>
      </c>
      <c r="B28" t="str">
        <f>"TN"</f>
        <v>TN</v>
      </c>
      <c r="C28" t="str">
        <f>"N_cal_25ppm_acid_laurel"</f>
        <v>N_cal_25ppm_acid_laurel</v>
      </c>
      <c r="D28" t="str">
        <f>"N_cal_25ppm_acid_laurel"</f>
        <v>N_cal_25ppm_acid_laurel</v>
      </c>
      <c r="E28" t="str">
        <f>"C:\TOC3201\CalCurves\Itamar\N_cal_25ppm_acid_laurel.2019_08_15_12_20_41.cal"</f>
        <v>C:\TOC3201\CalCurves\Itamar\N_cal_25ppm_acid_laurel.2019_08_15_12_20_41.cal</v>
      </c>
      <c r="F28" t="str">
        <f>""</f>
        <v/>
      </c>
      <c r="G28">
        <v>1</v>
      </c>
      <c r="H28" t="str">
        <f>""</f>
        <v/>
      </c>
      <c r="I28" t="str">
        <f>"8/15/2019 12:36:18 PM"</f>
        <v>8/15/2019 12:36:18 PM</v>
      </c>
      <c r="J28" t="str">
        <f>"1"</f>
        <v>1</v>
      </c>
      <c r="K28" t="str">
        <f>"3"</f>
        <v>3</v>
      </c>
      <c r="L28" t="str">
        <f>"TN"</f>
        <v>TN</v>
      </c>
      <c r="M28" t="str">
        <f>"2.079"</f>
        <v>2.079</v>
      </c>
      <c r="N28" t="str">
        <f>"0.5000"</f>
        <v>0.5000</v>
      </c>
      <c r="O28" t="str">
        <f>" "</f>
        <v xml:space="preserve"> </v>
      </c>
      <c r="P28">
        <v>1</v>
      </c>
      <c r="Q28" t="str">
        <f>"100"</f>
        <v>100</v>
      </c>
    </row>
    <row r="29" spans="1:17" x14ac:dyDescent="0.2">
      <c r="A29" t="str">
        <f>"Standard"</f>
        <v>Standard</v>
      </c>
      <c r="B29" t="str">
        <f>"TN"</f>
        <v>TN</v>
      </c>
      <c r="C29" t="str">
        <f>"N_cal_25ppm_acid_laurel"</f>
        <v>N_cal_25ppm_acid_laurel</v>
      </c>
      <c r="D29" t="str">
        <f>"N_cal_25ppm_acid_laurel"</f>
        <v>N_cal_25ppm_acid_laurel</v>
      </c>
      <c r="E29" t="str">
        <f>"C:\TOC3201\CalCurves\Itamar\N_cal_25ppm_acid_laurel.2019_08_15_12_20_41.cal"</f>
        <v>C:\TOC3201\CalCurves\Itamar\N_cal_25ppm_acid_laurel.2019_08_15_12_20_41.cal</v>
      </c>
      <c r="F29" t="str">
        <f>""</f>
        <v/>
      </c>
      <c r="G29">
        <v>1</v>
      </c>
      <c r="H29" t="str">
        <f>""</f>
        <v/>
      </c>
      <c r="I29" t="str">
        <f>"8/15/2019 12:39:24 PM"</f>
        <v>8/15/2019 12:39:24 PM</v>
      </c>
      <c r="J29" t="str">
        <f>"1"</f>
        <v>1</v>
      </c>
      <c r="K29" t="str">
        <f>"4"</f>
        <v>4</v>
      </c>
      <c r="L29" t="str">
        <f>"TN"</f>
        <v>TN</v>
      </c>
      <c r="M29" t="str">
        <f>"2.411"</f>
        <v>2.411</v>
      </c>
      <c r="N29" t="str">
        <f>"0.5000"</f>
        <v>0.5000</v>
      </c>
      <c r="O29" t="str">
        <f>" "</f>
        <v xml:space="preserve"> </v>
      </c>
      <c r="P29">
        <v>0</v>
      </c>
      <c r="Q29" t="str">
        <f>"100"</f>
        <v>100</v>
      </c>
    </row>
    <row r="30" spans="1:17" x14ac:dyDescent="0.2">
      <c r="A30" t="str">
        <f>"Standard"</f>
        <v>Standard</v>
      </c>
      <c r="B30" t="str">
        <f>"TN"</f>
        <v>TN</v>
      </c>
      <c r="C30" t="str">
        <f>"N_cal_25ppm_acid_laurel"</f>
        <v>N_cal_25ppm_acid_laurel</v>
      </c>
      <c r="D30" t="str">
        <f>"N_cal_25ppm_acid_laurel"</f>
        <v>N_cal_25ppm_acid_laurel</v>
      </c>
      <c r="E30" t="str">
        <f>"C:\TOC3201\CalCurves\Itamar\N_cal_25ppm_acid_laurel.2019_08_15_12_20_41.cal"</f>
        <v>C:\TOC3201\CalCurves\Itamar\N_cal_25ppm_acid_laurel.2019_08_15_12_20_41.cal</v>
      </c>
      <c r="F30" t="str">
        <f>""</f>
        <v/>
      </c>
      <c r="G30">
        <v>1</v>
      </c>
      <c r="H30" t="str">
        <f>""</f>
        <v/>
      </c>
      <c r="I30" t="str">
        <f>"8/15/2019 12:42:09 PM"</f>
        <v>8/15/2019 12:42:09 PM</v>
      </c>
      <c r="J30" t="str">
        <f>"1"</f>
        <v>1</v>
      </c>
      <c r="K30" t="str">
        <f>"5"</f>
        <v>5</v>
      </c>
      <c r="L30" t="str">
        <f>"TN"</f>
        <v>TN</v>
      </c>
      <c r="M30" t="str">
        <f>"2.177"</f>
        <v>2.177</v>
      </c>
      <c r="N30" t="str">
        <f>"0.5000"</f>
        <v>0.5000</v>
      </c>
      <c r="O30" t="str">
        <f>" "</f>
        <v xml:space="preserve"> </v>
      </c>
      <c r="P30">
        <v>0</v>
      </c>
      <c r="Q30" t="str">
        <f>"100"</f>
        <v>100</v>
      </c>
    </row>
    <row r="31" spans="1:17" x14ac:dyDescent="0.2">
      <c r="A31" t="str">
        <f>"Standard"</f>
        <v>Standard</v>
      </c>
      <c r="B31" t="str">
        <f>"TN"</f>
        <v>TN</v>
      </c>
      <c r="C31" t="str">
        <f>"N_cal_25ppm_acid_laurel"</f>
        <v>N_cal_25ppm_acid_laurel</v>
      </c>
      <c r="D31" t="str">
        <f>"N_cal_25ppm_acid_laurel"</f>
        <v>N_cal_25ppm_acid_laurel</v>
      </c>
      <c r="E31" t="str">
        <f>"C:\TOC3201\CalCurves\Itamar\N_cal_25ppm_acid_laurel.2019_08_15_12_20_41.cal"</f>
        <v>C:\TOC3201\CalCurves\Itamar\N_cal_25ppm_acid_laurel.2019_08_15_12_20_41.cal</v>
      </c>
      <c r="F31" t="str">
        <f>""</f>
        <v/>
      </c>
      <c r="G31">
        <v>1</v>
      </c>
      <c r="H31" t="str">
        <f>""</f>
        <v/>
      </c>
      <c r="I31" t="str">
        <f>"8/15/2019 12:51:03 PM"</f>
        <v>8/15/2019 12:51:03 PM</v>
      </c>
      <c r="J31" t="str">
        <f>"2"</f>
        <v>2</v>
      </c>
      <c r="K31" t="str">
        <f>"1"</f>
        <v>1</v>
      </c>
      <c r="L31" t="str">
        <f>"TN"</f>
        <v>TN</v>
      </c>
      <c r="M31" t="str">
        <f>"8.906"</f>
        <v>8.906</v>
      </c>
      <c r="N31" t="str">
        <f>"1.000"</f>
        <v>1.000</v>
      </c>
      <c r="O31" t="str">
        <f>" "</f>
        <v xml:space="preserve"> </v>
      </c>
      <c r="P31">
        <v>1</v>
      </c>
      <c r="Q31" t="str">
        <f>"100"</f>
        <v>100</v>
      </c>
    </row>
    <row r="32" spans="1:17" x14ac:dyDescent="0.2">
      <c r="A32" t="str">
        <f>"Standard"</f>
        <v>Standard</v>
      </c>
      <c r="B32" t="str">
        <f>"TN"</f>
        <v>TN</v>
      </c>
      <c r="C32" t="str">
        <f>"N_cal_25ppm_acid_laurel"</f>
        <v>N_cal_25ppm_acid_laurel</v>
      </c>
      <c r="D32" t="str">
        <f>"N_cal_25ppm_acid_laurel"</f>
        <v>N_cal_25ppm_acid_laurel</v>
      </c>
      <c r="E32" t="str">
        <f>"C:\TOC3201\CalCurves\Itamar\N_cal_25ppm_acid_laurel.2019_08_15_12_20_41.cal"</f>
        <v>C:\TOC3201\CalCurves\Itamar\N_cal_25ppm_acid_laurel.2019_08_15_12_20_41.cal</v>
      </c>
      <c r="F32" t="str">
        <f>""</f>
        <v/>
      </c>
      <c r="G32">
        <v>1</v>
      </c>
      <c r="H32" t="str">
        <f>""</f>
        <v/>
      </c>
      <c r="I32" t="str">
        <f>"8/15/2019 12:55:34 PM"</f>
        <v>8/15/2019 12:55:34 PM</v>
      </c>
      <c r="J32" t="str">
        <f>"2"</f>
        <v>2</v>
      </c>
      <c r="K32" t="str">
        <f>"2"</f>
        <v>2</v>
      </c>
      <c r="L32" t="str">
        <f>"TN"</f>
        <v>TN</v>
      </c>
      <c r="M32" t="str">
        <f>"5.647"</f>
        <v>5.647</v>
      </c>
      <c r="N32" t="str">
        <f>"1.000"</f>
        <v>1.000</v>
      </c>
      <c r="O32" t="str">
        <f>" "</f>
        <v xml:space="preserve"> </v>
      </c>
      <c r="P32">
        <v>1</v>
      </c>
      <c r="Q32" t="str">
        <f>"100"</f>
        <v>100</v>
      </c>
    </row>
    <row r="33" spans="1:17" x14ac:dyDescent="0.2">
      <c r="A33" t="str">
        <f>"Standard"</f>
        <v>Standard</v>
      </c>
      <c r="B33" t="str">
        <f>"TN"</f>
        <v>TN</v>
      </c>
      <c r="C33" t="str">
        <f>"N_cal_25ppm_acid_laurel"</f>
        <v>N_cal_25ppm_acid_laurel</v>
      </c>
      <c r="D33" t="str">
        <f>"N_cal_25ppm_acid_laurel"</f>
        <v>N_cal_25ppm_acid_laurel</v>
      </c>
      <c r="E33" t="str">
        <f>"C:\TOC3201\CalCurves\Itamar\N_cal_25ppm_acid_laurel.2019_08_15_12_20_41.cal"</f>
        <v>C:\TOC3201\CalCurves\Itamar\N_cal_25ppm_acid_laurel.2019_08_15_12_20_41.cal</v>
      </c>
      <c r="F33" t="str">
        <f>""</f>
        <v/>
      </c>
      <c r="G33">
        <v>1</v>
      </c>
      <c r="H33" t="str">
        <f>""</f>
        <v/>
      </c>
      <c r="I33" t="str">
        <f>"8/15/2019 12:59:12 PM"</f>
        <v>8/15/2019 12:59:12 PM</v>
      </c>
      <c r="J33" t="str">
        <f>"2"</f>
        <v>2</v>
      </c>
      <c r="K33" t="str">
        <f>"3"</f>
        <v>3</v>
      </c>
      <c r="L33" t="str">
        <f>"TN"</f>
        <v>TN</v>
      </c>
      <c r="M33" t="str">
        <f>"4.632"</f>
        <v>4.632</v>
      </c>
      <c r="N33" t="str">
        <f>"1.000"</f>
        <v>1.000</v>
      </c>
      <c r="O33" t="str">
        <f>" "</f>
        <v xml:space="preserve"> </v>
      </c>
      <c r="P33">
        <v>0</v>
      </c>
      <c r="Q33" t="str">
        <f>"100"</f>
        <v>100</v>
      </c>
    </row>
    <row r="34" spans="1:17" x14ac:dyDescent="0.2">
      <c r="A34" t="str">
        <f>"Standard"</f>
        <v>Standard</v>
      </c>
      <c r="B34" t="str">
        <f>"TN"</f>
        <v>TN</v>
      </c>
      <c r="C34" t="str">
        <f>"N_cal_25ppm_acid_laurel"</f>
        <v>N_cal_25ppm_acid_laurel</v>
      </c>
      <c r="D34" t="str">
        <f>"N_cal_25ppm_acid_laurel"</f>
        <v>N_cal_25ppm_acid_laurel</v>
      </c>
      <c r="E34" t="str">
        <f>"C:\TOC3201\CalCurves\Itamar\N_cal_25ppm_acid_laurel.2019_08_15_12_20_41.cal"</f>
        <v>C:\TOC3201\CalCurves\Itamar\N_cal_25ppm_acid_laurel.2019_08_15_12_20_41.cal</v>
      </c>
      <c r="F34" t="str">
        <f>""</f>
        <v/>
      </c>
      <c r="G34">
        <v>1</v>
      </c>
      <c r="H34" t="str">
        <f>""</f>
        <v/>
      </c>
      <c r="I34" t="str">
        <f>"8/15/2019 1:02:32 PM"</f>
        <v>8/15/2019 1:02:32 PM</v>
      </c>
      <c r="J34" t="str">
        <f>"2"</f>
        <v>2</v>
      </c>
      <c r="K34" t="str">
        <f>"4"</f>
        <v>4</v>
      </c>
      <c r="L34" t="str">
        <f>"TN"</f>
        <v>TN</v>
      </c>
      <c r="M34" t="str">
        <f>"3.318"</f>
        <v>3.318</v>
      </c>
      <c r="N34" t="str">
        <f>"1.000"</f>
        <v>1.000</v>
      </c>
      <c r="O34" t="str">
        <f>" "</f>
        <v xml:space="preserve"> </v>
      </c>
      <c r="P34">
        <v>0</v>
      </c>
      <c r="Q34" t="str">
        <f>"100"</f>
        <v>100</v>
      </c>
    </row>
    <row r="35" spans="1:17" x14ac:dyDescent="0.2">
      <c r="A35" t="str">
        <f>"Standard"</f>
        <v>Standard</v>
      </c>
      <c r="B35" t="str">
        <f>"TN"</f>
        <v>TN</v>
      </c>
      <c r="C35" t="str">
        <f>"N_cal_25ppm_acid_laurel"</f>
        <v>N_cal_25ppm_acid_laurel</v>
      </c>
      <c r="D35" t="str">
        <f>"N_cal_25ppm_acid_laurel"</f>
        <v>N_cal_25ppm_acid_laurel</v>
      </c>
      <c r="E35" t="str">
        <f>"C:\TOC3201\CalCurves\Itamar\N_cal_25ppm_acid_laurel.2019_08_15_12_20_41.cal"</f>
        <v>C:\TOC3201\CalCurves\Itamar\N_cal_25ppm_acid_laurel.2019_08_15_12_20_41.cal</v>
      </c>
      <c r="F35" t="str">
        <f>""</f>
        <v/>
      </c>
      <c r="G35">
        <v>1</v>
      </c>
      <c r="H35" t="str">
        <f>""</f>
        <v/>
      </c>
      <c r="I35" t="str">
        <f>"8/15/2019 1:05:43 PM"</f>
        <v>8/15/2019 1:05:43 PM</v>
      </c>
      <c r="J35" t="str">
        <f>"2"</f>
        <v>2</v>
      </c>
      <c r="K35" t="str">
        <f>"5"</f>
        <v>5</v>
      </c>
      <c r="L35" t="str">
        <f>"TN"</f>
        <v>TN</v>
      </c>
      <c r="M35" t="str">
        <f>"3.449"</f>
        <v>3.449</v>
      </c>
      <c r="N35" t="str">
        <f>"1.000"</f>
        <v>1.000</v>
      </c>
      <c r="O35" t="str">
        <f>" "</f>
        <v xml:space="preserve"> </v>
      </c>
      <c r="P35">
        <v>0</v>
      </c>
      <c r="Q35" t="str">
        <f>"100"</f>
        <v>100</v>
      </c>
    </row>
    <row r="36" spans="1:17" x14ac:dyDescent="0.2">
      <c r="A36" t="str">
        <f>"Standard"</f>
        <v>Standard</v>
      </c>
      <c r="B36" t="str">
        <f>"TN"</f>
        <v>TN</v>
      </c>
      <c r="C36" t="str">
        <f>"N_cal_25ppm_acid_laurel"</f>
        <v>N_cal_25ppm_acid_laurel</v>
      </c>
      <c r="D36" t="str">
        <f>"N_cal_25ppm_acid_laurel"</f>
        <v>N_cal_25ppm_acid_laurel</v>
      </c>
      <c r="E36" t="str">
        <f>"C:\TOC3201\CalCurves\Itamar\N_cal_25ppm_acid_laurel.2019_08_15_12_20_41.cal"</f>
        <v>C:\TOC3201\CalCurves\Itamar\N_cal_25ppm_acid_laurel.2019_08_15_12_20_41.cal</v>
      </c>
      <c r="F36" t="str">
        <f>""</f>
        <v/>
      </c>
      <c r="G36">
        <v>1</v>
      </c>
      <c r="H36" t="str">
        <f>""</f>
        <v/>
      </c>
      <c r="I36" t="str">
        <f>"8/15/2019 1:12:56 PM"</f>
        <v>8/15/2019 1:12:56 PM</v>
      </c>
      <c r="J36" t="str">
        <f>"3"</f>
        <v>3</v>
      </c>
      <c r="K36" t="str">
        <f>"1"</f>
        <v>1</v>
      </c>
      <c r="L36" t="str">
        <f>"TN"</f>
        <v>TN</v>
      </c>
      <c r="M36" t="str">
        <f>"7.531"</f>
        <v>7.531</v>
      </c>
      <c r="N36" t="str">
        <f>"1.667"</f>
        <v>1.667</v>
      </c>
      <c r="O36" t="str">
        <f>" "</f>
        <v xml:space="preserve"> </v>
      </c>
      <c r="P36">
        <v>0</v>
      </c>
      <c r="Q36" t="str">
        <f>"100"</f>
        <v>100</v>
      </c>
    </row>
    <row r="37" spans="1:17" x14ac:dyDescent="0.2">
      <c r="A37" t="str">
        <f>"Standard"</f>
        <v>Standard</v>
      </c>
      <c r="B37" t="str">
        <f>"TN"</f>
        <v>TN</v>
      </c>
      <c r="C37" t="str">
        <f>"N_cal_25ppm_acid_laurel"</f>
        <v>N_cal_25ppm_acid_laurel</v>
      </c>
      <c r="D37" t="str">
        <f>"N_cal_25ppm_acid_laurel"</f>
        <v>N_cal_25ppm_acid_laurel</v>
      </c>
      <c r="E37" t="str">
        <f>"C:\TOC3201\CalCurves\Itamar\N_cal_25ppm_acid_laurel.2019_08_15_12_20_41.cal"</f>
        <v>C:\TOC3201\CalCurves\Itamar\N_cal_25ppm_acid_laurel.2019_08_15_12_20_41.cal</v>
      </c>
      <c r="F37" t="str">
        <f>""</f>
        <v/>
      </c>
      <c r="G37">
        <v>1</v>
      </c>
      <c r="H37" t="str">
        <f>""</f>
        <v/>
      </c>
      <c r="I37" t="str">
        <f>"8/15/2019 1:17:55 PM"</f>
        <v>8/15/2019 1:17:55 PM</v>
      </c>
      <c r="J37" t="str">
        <f>"3"</f>
        <v>3</v>
      </c>
      <c r="K37" t="str">
        <f>"2"</f>
        <v>2</v>
      </c>
      <c r="L37" t="str">
        <f>"TN"</f>
        <v>TN</v>
      </c>
      <c r="M37" t="str">
        <f>"8.066"</f>
        <v>8.066</v>
      </c>
      <c r="N37" t="str">
        <f>"1.667"</f>
        <v>1.667</v>
      </c>
      <c r="O37" t="str">
        <f>" "</f>
        <v xml:space="preserve"> </v>
      </c>
      <c r="P37">
        <v>1</v>
      </c>
      <c r="Q37" t="str">
        <f>"100"</f>
        <v>100</v>
      </c>
    </row>
    <row r="38" spans="1:17" x14ac:dyDescent="0.2">
      <c r="A38" t="str">
        <f>"Standard"</f>
        <v>Standard</v>
      </c>
      <c r="B38" t="str">
        <f>"TN"</f>
        <v>TN</v>
      </c>
      <c r="C38" t="str">
        <f>"N_cal_25ppm_acid_laurel"</f>
        <v>N_cal_25ppm_acid_laurel</v>
      </c>
      <c r="D38" t="str">
        <f>"N_cal_25ppm_acid_laurel"</f>
        <v>N_cal_25ppm_acid_laurel</v>
      </c>
      <c r="E38" t="str">
        <f>"C:\TOC3201\CalCurves\Itamar\N_cal_25ppm_acid_laurel.2019_08_15_12_20_41.cal"</f>
        <v>C:\TOC3201\CalCurves\Itamar\N_cal_25ppm_acid_laurel.2019_08_15_12_20_41.cal</v>
      </c>
      <c r="F38" t="str">
        <f>""</f>
        <v/>
      </c>
      <c r="G38">
        <v>1</v>
      </c>
      <c r="H38" t="str">
        <f>""</f>
        <v/>
      </c>
      <c r="I38" t="str">
        <f>"8/15/2019 1:21:24 PM"</f>
        <v>8/15/2019 1:21:24 PM</v>
      </c>
      <c r="J38" t="str">
        <f>"3"</f>
        <v>3</v>
      </c>
      <c r="K38" t="str">
        <f>"3"</f>
        <v>3</v>
      </c>
      <c r="L38" t="str">
        <f>"TN"</f>
        <v>TN</v>
      </c>
      <c r="M38" t="str">
        <f>"7.327"</f>
        <v>7.327</v>
      </c>
      <c r="N38" t="str">
        <f>"1.667"</f>
        <v>1.667</v>
      </c>
      <c r="O38" t="str">
        <f>" "</f>
        <v xml:space="preserve"> </v>
      </c>
      <c r="P38">
        <v>0</v>
      </c>
      <c r="Q38" t="str">
        <f>"100"</f>
        <v>100</v>
      </c>
    </row>
    <row r="39" spans="1:17" x14ac:dyDescent="0.2">
      <c r="A39" t="str">
        <f>"Standard"</f>
        <v>Standard</v>
      </c>
      <c r="B39" t="str">
        <f>"TN"</f>
        <v>TN</v>
      </c>
      <c r="C39" t="str">
        <f>"N_cal_25ppm_acid_laurel"</f>
        <v>N_cal_25ppm_acid_laurel</v>
      </c>
      <c r="D39" t="str">
        <f>"N_cal_25ppm_acid_laurel"</f>
        <v>N_cal_25ppm_acid_laurel</v>
      </c>
      <c r="E39" t="str">
        <f>"C:\TOC3201\CalCurves\Itamar\N_cal_25ppm_acid_laurel.2019_08_15_12_20_41.cal"</f>
        <v>C:\TOC3201\CalCurves\Itamar\N_cal_25ppm_acid_laurel.2019_08_15_12_20_41.cal</v>
      </c>
      <c r="F39" t="str">
        <f>""</f>
        <v/>
      </c>
      <c r="G39">
        <v>1</v>
      </c>
      <c r="H39" t="str">
        <f>""</f>
        <v/>
      </c>
      <c r="I39" t="str">
        <f>"8/15/2019 1:24:56 PM"</f>
        <v>8/15/2019 1:24:56 PM</v>
      </c>
      <c r="J39" t="str">
        <f>"3"</f>
        <v>3</v>
      </c>
      <c r="K39" t="str">
        <f>"4"</f>
        <v>4</v>
      </c>
      <c r="L39" t="str">
        <f>"TN"</f>
        <v>TN</v>
      </c>
      <c r="M39" t="str">
        <f>"7.955"</f>
        <v>7.955</v>
      </c>
      <c r="N39" t="str">
        <f>"1.667"</f>
        <v>1.667</v>
      </c>
      <c r="O39" t="str">
        <f>" "</f>
        <v xml:space="preserve"> </v>
      </c>
      <c r="P39">
        <v>1</v>
      </c>
      <c r="Q39" t="str">
        <f>"100"</f>
        <v>100</v>
      </c>
    </row>
    <row r="40" spans="1:17" x14ac:dyDescent="0.2">
      <c r="A40" t="str">
        <f>"Standard"</f>
        <v>Standard</v>
      </c>
      <c r="B40" t="str">
        <f>"TN"</f>
        <v>TN</v>
      </c>
      <c r="C40" t="str">
        <f>"N_cal_25ppm_acid_laurel"</f>
        <v>N_cal_25ppm_acid_laurel</v>
      </c>
      <c r="D40" t="str">
        <f>"N_cal_25ppm_acid_laurel"</f>
        <v>N_cal_25ppm_acid_laurel</v>
      </c>
      <c r="E40" t="str">
        <f>"C:\TOC3201\CalCurves\Itamar\N_cal_25ppm_acid_laurel.2019_08_15_12_20_41.cal"</f>
        <v>C:\TOC3201\CalCurves\Itamar\N_cal_25ppm_acid_laurel.2019_08_15_12_20_41.cal</v>
      </c>
      <c r="F40" t="str">
        <f>""</f>
        <v/>
      </c>
      <c r="G40">
        <v>1</v>
      </c>
      <c r="H40" t="str">
        <f>""</f>
        <v/>
      </c>
      <c r="I40" t="str">
        <f>"8/15/2019 1:28:30 PM"</f>
        <v>8/15/2019 1:28:30 PM</v>
      </c>
      <c r="J40" t="str">
        <f>"3"</f>
        <v>3</v>
      </c>
      <c r="K40" t="str">
        <f>"5"</f>
        <v>5</v>
      </c>
      <c r="L40" t="str">
        <f>"TN"</f>
        <v>TN</v>
      </c>
      <c r="M40" t="str">
        <f>"7.525"</f>
        <v>7.525</v>
      </c>
      <c r="N40" t="str">
        <f>"1.667"</f>
        <v>1.667</v>
      </c>
      <c r="O40" t="str">
        <f>" "</f>
        <v xml:space="preserve"> </v>
      </c>
      <c r="P40">
        <v>0</v>
      </c>
      <c r="Q40" t="str">
        <f>"100"</f>
        <v>100</v>
      </c>
    </row>
    <row r="41" spans="1:17" x14ac:dyDescent="0.2">
      <c r="A41" t="str">
        <f>"Standard"</f>
        <v>Standard</v>
      </c>
      <c r="B41" t="str">
        <f>"TN"</f>
        <v>TN</v>
      </c>
      <c r="C41" t="str">
        <f>"N_cal_25ppm_acid_laurel"</f>
        <v>N_cal_25ppm_acid_laurel</v>
      </c>
      <c r="D41" t="str">
        <f>"N_cal_25ppm_acid_laurel"</f>
        <v>N_cal_25ppm_acid_laurel</v>
      </c>
      <c r="E41" t="str">
        <f>"C:\TOC3201\CalCurves\Itamar\N_cal_25ppm_acid_laurel.2019_08_15_12_20_41.cal"</f>
        <v>C:\TOC3201\CalCurves\Itamar\N_cal_25ppm_acid_laurel.2019_08_15_12_20_41.cal</v>
      </c>
      <c r="F41" t="str">
        <f>""</f>
        <v/>
      </c>
      <c r="G41">
        <v>1</v>
      </c>
      <c r="H41" t="str">
        <f>""</f>
        <v/>
      </c>
      <c r="I41" t="str">
        <f>"8/15/2019 1:36:01 PM"</f>
        <v>8/15/2019 1:36:01 PM</v>
      </c>
      <c r="J41" t="str">
        <f>"4"</f>
        <v>4</v>
      </c>
      <c r="K41" t="str">
        <f>"1"</f>
        <v>1</v>
      </c>
      <c r="L41" t="str">
        <f>"TN"</f>
        <v>TN</v>
      </c>
      <c r="M41" t="str">
        <f>"23.38"</f>
        <v>23.38</v>
      </c>
      <c r="N41" t="str">
        <f>"5.000"</f>
        <v>5.000</v>
      </c>
      <c r="O41" t="str">
        <f>" "</f>
        <v xml:space="preserve"> </v>
      </c>
      <c r="P41">
        <v>0</v>
      </c>
      <c r="Q41" t="str">
        <f>"100"</f>
        <v>100</v>
      </c>
    </row>
    <row r="42" spans="1:17" x14ac:dyDescent="0.2">
      <c r="A42" t="str">
        <f>"Standard"</f>
        <v>Standard</v>
      </c>
      <c r="B42" t="str">
        <f>"TN"</f>
        <v>TN</v>
      </c>
      <c r="C42" t="str">
        <f>"N_cal_25ppm_acid_laurel"</f>
        <v>N_cal_25ppm_acid_laurel</v>
      </c>
      <c r="D42" t="str">
        <f>"N_cal_25ppm_acid_laurel"</f>
        <v>N_cal_25ppm_acid_laurel</v>
      </c>
      <c r="E42" t="str">
        <f>"C:\TOC3201\CalCurves\Itamar\N_cal_25ppm_acid_laurel.2019_08_15_12_20_41.cal"</f>
        <v>C:\TOC3201\CalCurves\Itamar\N_cal_25ppm_acid_laurel.2019_08_15_12_20_41.cal</v>
      </c>
      <c r="F42" t="str">
        <f>""</f>
        <v/>
      </c>
      <c r="G42">
        <v>1</v>
      </c>
      <c r="H42" t="str">
        <f>""</f>
        <v/>
      </c>
      <c r="I42" t="str">
        <f>"8/15/2019 1:39:37 PM"</f>
        <v>8/15/2019 1:39:37 PM</v>
      </c>
      <c r="J42" t="str">
        <f>"4"</f>
        <v>4</v>
      </c>
      <c r="K42" t="str">
        <f>"2"</f>
        <v>2</v>
      </c>
      <c r="L42" t="str">
        <f>"TN"</f>
        <v>TN</v>
      </c>
      <c r="M42" t="str">
        <f>"22.94"</f>
        <v>22.94</v>
      </c>
      <c r="N42" t="str">
        <f>"5.000"</f>
        <v>5.000</v>
      </c>
      <c r="O42" t="str">
        <f>" "</f>
        <v xml:space="preserve"> </v>
      </c>
      <c r="P42">
        <v>0</v>
      </c>
      <c r="Q42" t="str">
        <f>"100"</f>
        <v>100</v>
      </c>
    </row>
    <row r="43" spans="1:17" x14ac:dyDescent="0.2">
      <c r="A43" t="str">
        <f>"Standard"</f>
        <v>Standard</v>
      </c>
      <c r="B43" t="str">
        <f>"TN"</f>
        <v>TN</v>
      </c>
      <c r="C43" t="str">
        <f>"N_cal_25ppm_acid_laurel"</f>
        <v>N_cal_25ppm_acid_laurel</v>
      </c>
      <c r="D43" t="str">
        <f>"N_cal_25ppm_acid_laurel"</f>
        <v>N_cal_25ppm_acid_laurel</v>
      </c>
      <c r="E43" t="str">
        <f>"C:\TOC3201\CalCurves\Itamar\N_cal_25ppm_acid_laurel.2019_08_15_12_20_41.cal"</f>
        <v>C:\TOC3201\CalCurves\Itamar\N_cal_25ppm_acid_laurel.2019_08_15_12_20_41.cal</v>
      </c>
      <c r="F43" t="str">
        <f>""</f>
        <v/>
      </c>
      <c r="G43">
        <v>1</v>
      </c>
      <c r="H43" t="str">
        <f>""</f>
        <v/>
      </c>
      <c r="I43" t="str">
        <f>"8/15/2019 1:43:26 PM"</f>
        <v>8/15/2019 1:43:26 PM</v>
      </c>
      <c r="J43" t="str">
        <f>"4"</f>
        <v>4</v>
      </c>
      <c r="K43" t="str">
        <f>"3"</f>
        <v>3</v>
      </c>
      <c r="L43" t="str">
        <f>"TN"</f>
        <v>TN</v>
      </c>
      <c r="M43" t="str">
        <f>"23.02"</f>
        <v>23.02</v>
      </c>
      <c r="N43" t="str">
        <f>"5.000"</f>
        <v>5.000</v>
      </c>
      <c r="O43" t="str">
        <f>" "</f>
        <v xml:space="preserve"> </v>
      </c>
      <c r="P43">
        <v>0</v>
      </c>
      <c r="Q43" t="str">
        <f>"100"</f>
        <v>100</v>
      </c>
    </row>
    <row r="44" spans="1:17" x14ac:dyDescent="0.2">
      <c r="A44" t="str">
        <f>"Standard"</f>
        <v>Standard</v>
      </c>
      <c r="B44" t="str">
        <f>"TN"</f>
        <v>TN</v>
      </c>
      <c r="C44" t="str">
        <f>"N_cal_25ppm_acid_laurel"</f>
        <v>N_cal_25ppm_acid_laurel</v>
      </c>
      <c r="D44" t="str">
        <f>"N_cal_25ppm_acid_laurel"</f>
        <v>N_cal_25ppm_acid_laurel</v>
      </c>
      <c r="E44" t="str">
        <f>"C:\TOC3201\CalCurves\Itamar\N_cal_25ppm_acid_laurel.2019_08_15_12_20_41.cal"</f>
        <v>C:\TOC3201\CalCurves\Itamar\N_cal_25ppm_acid_laurel.2019_08_15_12_20_41.cal</v>
      </c>
      <c r="F44" t="str">
        <f>""</f>
        <v/>
      </c>
      <c r="G44">
        <v>1</v>
      </c>
      <c r="H44" t="str">
        <f>""</f>
        <v/>
      </c>
      <c r="I44" t="str">
        <f>"8/15/2019 1:51:10 PM"</f>
        <v>8/15/2019 1:51:10 PM</v>
      </c>
      <c r="J44" t="str">
        <f>"5"</f>
        <v>5</v>
      </c>
      <c r="K44" t="str">
        <f>"1"</f>
        <v>1</v>
      </c>
      <c r="L44" t="str">
        <f>"TN"</f>
        <v>TN</v>
      </c>
      <c r="M44" t="str">
        <f>"57.59"</f>
        <v>57.59</v>
      </c>
      <c r="N44" t="str">
        <f>"12.50"</f>
        <v>12.50</v>
      </c>
      <c r="O44" t="str">
        <f>" "</f>
        <v xml:space="preserve"> </v>
      </c>
      <c r="P44">
        <v>1</v>
      </c>
      <c r="Q44" t="str">
        <f>"100"</f>
        <v>100</v>
      </c>
    </row>
    <row r="45" spans="1:17" x14ac:dyDescent="0.2">
      <c r="A45" t="str">
        <f>"Standard"</f>
        <v>Standard</v>
      </c>
      <c r="B45" t="str">
        <f>"TN"</f>
        <v>TN</v>
      </c>
      <c r="C45" t="str">
        <f>"N_cal_25ppm_acid_laurel"</f>
        <v>N_cal_25ppm_acid_laurel</v>
      </c>
      <c r="D45" t="str">
        <f>"N_cal_25ppm_acid_laurel"</f>
        <v>N_cal_25ppm_acid_laurel</v>
      </c>
      <c r="E45" t="str">
        <f>"C:\TOC3201\CalCurves\Itamar\N_cal_25ppm_acid_laurel.2019_08_15_12_20_41.cal"</f>
        <v>C:\TOC3201\CalCurves\Itamar\N_cal_25ppm_acid_laurel.2019_08_15_12_20_41.cal</v>
      </c>
      <c r="F45" t="str">
        <f>""</f>
        <v/>
      </c>
      <c r="G45">
        <v>1</v>
      </c>
      <c r="H45" t="str">
        <f>""</f>
        <v/>
      </c>
      <c r="I45" t="str">
        <f>"8/15/2019 1:54:56 PM"</f>
        <v>8/15/2019 1:54:56 PM</v>
      </c>
      <c r="J45" t="str">
        <f>"5"</f>
        <v>5</v>
      </c>
      <c r="K45" t="str">
        <f>"2"</f>
        <v>2</v>
      </c>
      <c r="L45" t="str">
        <f>"TN"</f>
        <v>TN</v>
      </c>
      <c r="M45" t="str">
        <f>"60.84"</f>
        <v>60.84</v>
      </c>
      <c r="N45" t="str">
        <f>"12.50"</f>
        <v>12.50</v>
      </c>
      <c r="O45" t="str">
        <f>" "</f>
        <v xml:space="preserve"> </v>
      </c>
      <c r="P45">
        <v>0</v>
      </c>
      <c r="Q45" t="str">
        <f>"100"</f>
        <v>100</v>
      </c>
    </row>
    <row r="46" spans="1:17" x14ac:dyDescent="0.2">
      <c r="A46" t="str">
        <f>"Standard"</f>
        <v>Standard</v>
      </c>
      <c r="B46" t="str">
        <f>"TN"</f>
        <v>TN</v>
      </c>
      <c r="C46" t="str">
        <f>"N_cal_25ppm_acid_laurel"</f>
        <v>N_cal_25ppm_acid_laurel</v>
      </c>
      <c r="D46" t="str">
        <f>"N_cal_25ppm_acid_laurel"</f>
        <v>N_cal_25ppm_acid_laurel</v>
      </c>
      <c r="E46" t="str">
        <f>"C:\TOC3201\CalCurves\Itamar\N_cal_25ppm_acid_laurel.2019_08_15_12_20_41.cal"</f>
        <v>C:\TOC3201\CalCurves\Itamar\N_cal_25ppm_acid_laurel.2019_08_15_12_20_41.cal</v>
      </c>
      <c r="F46" t="str">
        <f>""</f>
        <v/>
      </c>
      <c r="G46">
        <v>1</v>
      </c>
      <c r="H46" t="str">
        <f>""</f>
        <v/>
      </c>
      <c r="I46" t="str">
        <f>"8/15/2019 1:58:52 PM"</f>
        <v>8/15/2019 1:58:52 PM</v>
      </c>
      <c r="J46" t="str">
        <f>"5"</f>
        <v>5</v>
      </c>
      <c r="K46" t="str">
        <f>"3"</f>
        <v>3</v>
      </c>
      <c r="L46" t="str">
        <f>"TN"</f>
        <v>TN</v>
      </c>
      <c r="M46" t="str">
        <f>"59.53"</f>
        <v>59.53</v>
      </c>
      <c r="N46" t="str">
        <f>"12.50"</f>
        <v>12.50</v>
      </c>
      <c r="O46" t="str">
        <f>" "</f>
        <v xml:space="preserve"> </v>
      </c>
      <c r="P46">
        <v>0</v>
      </c>
      <c r="Q46" t="str">
        <f>"100"</f>
        <v>100</v>
      </c>
    </row>
    <row r="47" spans="1:17" x14ac:dyDescent="0.2">
      <c r="A47" t="str">
        <f>"Standard"</f>
        <v>Standard</v>
      </c>
      <c r="B47" t="str">
        <f>"TN"</f>
        <v>TN</v>
      </c>
      <c r="C47" t="str">
        <f>"N_cal_25ppm_acid_laurel"</f>
        <v>N_cal_25ppm_acid_laurel</v>
      </c>
      <c r="D47" t="str">
        <f>"N_cal_25ppm_acid_laurel"</f>
        <v>N_cal_25ppm_acid_laurel</v>
      </c>
      <c r="E47" t="str">
        <f>"C:\TOC3201\CalCurves\Itamar\N_cal_25ppm_acid_laurel.2019_08_15_12_20_41.cal"</f>
        <v>C:\TOC3201\CalCurves\Itamar\N_cal_25ppm_acid_laurel.2019_08_15_12_20_41.cal</v>
      </c>
      <c r="F47" t="str">
        <f>""</f>
        <v/>
      </c>
      <c r="G47">
        <v>1</v>
      </c>
      <c r="H47" t="str">
        <f>""</f>
        <v/>
      </c>
      <c r="I47" t="str">
        <f>"8/15/2019 2:02:43 PM"</f>
        <v>8/15/2019 2:02:43 PM</v>
      </c>
      <c r="J47" t="str">
        <f>"5"</f>
        <v>5</v>
      </c>
      <c r="K47" t="str">
        <f>"4"</f>
        <v>4</v>
      </c>
      <c r="L47" t="str">
        <f>"TN"</f>
        <v>TN</v>
      </c>
      <c r="M47" t="str">
        <f>"61.89"</f>
        <v>61.89</v>
      </c>
      <c r="N47" t="str">
        <f>"12.50"</f>
        <v>12.50</v>
      </c>
      <c r="O47" t="str">
        <f>" "</f>
        <v xml:space="preserve"> </v>
      </c>
      <c r="P47">
        <v>0</v>
      </c>
      <c r="Q47" t="str">
        <f>"100"</f>
        <v>100</v>
      </c>
    </row>
    <row r="48" spans="1:17" x14ac:dyDescent="0.2">
      <c r="A48" t="str">
        <f>"Standard"</f>
        <v>Standard</v>
      </c>
      <c r="B48" t="str">
        <f>"TN"</f>
        <v>TN</v>
      </c>
      <c r="C48" t="str">
        <f>"N_cal_25ppm_acid_laurel"</f>
        <v>N_cal_25ppm_acid_laurel</v>
      </c>
      <c r="D48" t="str">
        <f>"N_cal_25ppm_acid_laurel"</f>
        <v>N_cal_25ppm_acid_laurel</v>
      </c>
      <c r="E48" t="str">
        <f>"C:\TOC3201\CalCurves\Itamar\N_cal_25ppm_acid_laurel.2019_08_15_12_20_41.cal"</f>
        <v>C:\TOC3201\CalCurves\Itamar\N_cal_25ppm_acid_laurel.2019_08_15_12_20_41.cal</v>
      </c>
      <c r="F48" t="str">
        <f>""</f>
        <v/>
      </c>
      <c r="G48">
        <v>1</v>
      </c>
      <c r="H48" t="str">
        <f>""</f>
        <v/>
      </c>
      <c r="I48" t="str">
        <f>"8/15/2019 2:09:49 PM"</f>
        <v>8/15/2019 2:09:49 PM</v>
      </c>
      <c r="J48" t="str">
        <f>"6"</f>
        <v>6</v>
      </c>
      <c r="K48" t="str">
        <f>"1"</f>
        <v>1</v>
      </c>
      <c r="L48" t="str">
        <f>"TN"</f>
        <v>TN</v>
      </c>
      <c r="M48" t="str">
        <f>"121.0"</f>
        <v>121.0</v>
      </c>
      <c r="N48" t="str">
        <f>"25.00"</f>
        <v>25.00</v>
      </c>
      <c r="O48" t="str">
        <f>" "</f>
        <v xml:space="preserve"> </v>
      </c>
      <c r="P48">
        <v>0</v>
      </c>
      <c r="Q48" t="str">
        <f>"100"</f>
        <v>100</v>
      </c>
    </row>
    <row r="49" spans="1:17" x14ac:dyDescent="0.2">
      <c r="A49" t="str">
        <f>"Standard"</f>
        <v>Standard</v>
      </c>
      <c r="B49" t="str">
        <f>"TN"</f>
        <v>TN</v>
      </c>
      <c r="C49" t="str">
        <f>"N_cal_25ppm_acid_laurel"</f>
        <v>N_cal_25ppm_acid_laurel</v>
      </c>
      <c r="D49" t="str">
        <f>"N_cal_25ppm_acid_laurel"</f>
        <v>N_cal_25ppm_acid_laurel</v>
      </c>
      <c r="E49" t="str">
        <f>"C:\TOC3201\CalCurves\Itamar\N_cal_25ppm_acid_laurel.2019_08_15_12_20_41.cal"</f>
        <v>C:\TOC3201\CalCurves\Itamar\N_cal_25ppm_acid_laurel.2019_08_15_12_20_41.cal</v>
      </c>
      <c r="F49" t="str">
        <f>""</f>
        <v/>
      </c>
      <c r="G49">
        <v>1</v>
      </c>
      <c r="H49" t="str">
        <f>""</f>
        <v/>
      </c>
      <c r="I49" t="str">
        <f>"8/15/2019 2:13:41 PM"</f>
        <v>8/15/2019 2:13:41 PM</v>
      </c>
      <c r="J49" t="str">
        <f>"6"</f>
        <v>6</v>
      </c>
      <c r="K49" t="str">
        <f>"2"</f>
        <v>2</v>
      </c>
      <c r="L49" t="str">
        <f>"TN"</f>
        <v>TN</v>
      </c>
      <c r="M49" t="str">
        <f>"122.2"</f>
        <v>122.2</v>
      </c>
      <c r="N49" t="str">
        <f>"25.00"</f>
        <v>25.00</v>
      </c>
      <c r="O49" t="str">
        <f>" "</f>
        <v xml:space="preserve"> </v>
      </c>
      <c r="P49">
        <v>0</v>
      </c>
      <c r="Q49" t="str">
        <f>"100"</f>
        <v>100</v>
      </c>
    </row>
    <row r="50" spans="1:17" x14ac:dyDescent="0.2">
      <c r="A50" t="str">
        <f>"Standard"</f>
        <v>Standard</v>
      </c>
      <c r="B50" t="str">
        <f>"TN"</f>
        <v>TN</v>
      </c>
      <c r="C50" t="str">
        <f>"N_cal_25ppm_acid_laurel"</f>
        <v>N_cal_25ppm_acid_laurel</v>
      </c>
      <c r="D50" t="str">
        <f>"N_cal_25ppm_acid_laurel"</f>
        <v>N_cal_25ppm_acid_laurel</v>
      </c>
      <c r="E50" t="str">
        <f>"C:\TOC3201\CalCurves\Itamar\N_cal_25ppm_acid_laurel.2019_08_15_12_20_41.cal"</f>
        <v>C:\TOC3201\CalCurves\Itamar\N_cal_25ppm_acid_laurel.2019_08_15_12_20_41.cal</v>
      </c>
      <c r="F50" t="str">
        <f>""</f>
        <v/>
      </c>
      <c r="G50">
        <v>1</v>
      </c>
      <c r="H50" t="str">
        <f>""</f>
        <v/>
      </c>
      <c r="I50" t="str">
        <f>"8/15/2019 2:17:25 PM"</f>
        <v>8/15/2019 2:17:25 PM</v>
      </c>
      <c r="J50" t="str">
        <f>"6"</f>
        <v>6</v>
      </c>
      <c r="K50" t="str">
        <f>"3"</f>
        <v>3</v>
      </c>
      <c r="L50" t="str">
        <f>"TN"</f>
        <v>TN</v>
      </c>
      <c r="M50" t="str">
        <f>"116.1"</f>
        <v>116.1</v>
      </c>
      <c r="N50" t="str">
        <f>"25.00"</f>
        <v>25.00</v>
      </c>
      <c r="O50" t="str">
        <f>" "</f>
        <v xml:space="preserve"> </v>
      </c>
      <c r="P50">
        <v>1</v>
      </c>
      <c r="Q50" t="str">
        <f>"100"</f>
        <v>100</v>
      </c>
    </row>
    <row r="51" spans="1:17" x14ac:dyDescent="0.2">
      <c r="A51" t="str">
        <f>"Standard"</f>
        <v>Standard</v>
      </c>
      <c r="B51" t="str">
        <f>"TN"</f>
        <v>TN</v>
      </c>
      <c r="C51" t="str">
        <f>"N_cal_25ppm_acid_laurel"</f>
        <v>N_cal_25ppm_acid_laurel</v>
      </c>
      <c r="D51" t="str">
        <f>"N_cal_25ppm_acid_laurel"</f>
        <v>N_cal_25ppm_acid_laurel</v>
      </c>
      <c r="E51" t="str">
        <f>"C:\TOC3201\CalCurves\Itamar\N_cal_25ppm_acid_laurel.2019_08_15_12_20_41.cal"</f>
        <v>C:\TOC3201\CalCurves\Itamar\N_cal_25ppm_acid_laurel.2019_08_15_12_20_41.cal</v>
      </c>
      <c r="F51" t="str">
        <f>""</f>
        <v/>
      </c>
      <c r="G51">
        <v>1</v>
      </c>
      <c r="H51" t="str">
        <f>""</f>
        <v/>
      </c>
      <c r="I51" t="str">
        <f>"8/15/2019 2:21:10 PM"</f>
        <v>8/15/2019 2:21:10 PM</v>
      </c>
      <c r="J51" t="str">
        <f>"6"</f>
        <v>6</v>
      </c>
      <c r="K51" t="str">
        <f>"4"</f>
        <v>4</v>
      </c>
      <c r="L51" t="str">
        <f>"TN"</f>
        <v>TN</v>
      </c>
      <c r="M51" t="str">
        <f>"122.4"</f>
        <v>122.4</v>
      </c>
      <c r="N51" t="str">
        <f>"25.00"</f>
        <v>25.00</v>
      </c>
      <c r="O51" t="str">
        <f>" "</f>
        <v xml:space="preserve"> </v>
      </c>
      <c r="P51">
        <v>0</v>
      </c>
      <c r="Q51" t="str">
        <f>"100"</f>
        <v>100</v>
      </c>
    </row>
    <row r="52" spans="1:17" x14ac:dyDescent="0.2">
      <c r="A52" t="str">
        <f>"Unknown"</f>
        <v>Unknown</v>
      </c>
      <c r="B52" t="str">
        <f>"NPOC/TN"</f>
        <v>NPOC/TN</v>
      </c>
      <c r="C52" t="str">
        <f>"DI"</f>
        <v>DI</v>
      </c>
      <c r="D52" t="str">
        <f>"DI"</f>
        <v>DI</v>
      </c>
      <c r="E52" t="str">
        <f>"C:\TOC3201\Methods\Itamar\acid_sample.met"</f>
        <v>C:\TOC3201\Methods\Itamar\acid_sample.met</v>
      </c>
      <c r="F52" t="str">
        <f>"C:\TOC3201\CalCurves\Itamar\C_cal_100ppm_acid_laurel.2019_08_15_10_24_40.cal"</f>
        <v>C:\TOC3201\CalCurves\Itamar\C_cal_100ppm_acid_laurel.2019_08_15_10_24_40.cal</v>
      </c>
      <c r="G52">
        <v>1</v>
      </c>
      <c r="H52" t="str">
        <f>""</f>
        <v/>
      </c>
      <c r="I52" t="str">
        <f>"8/15/2019 2:29:46 PM"</f>
        <v>8/15/2019 2:29:46 PM</v>
      </c>
      <c r="J52" t="str">
        <f>"1"</f>
        <v>1</v>
      </c>
      <c r="K52" t="str">
        <f>"1"</f>
        <v>1</v>
      </c>
      <c r="L52" t="str">
        <f>"NPOC"</f>
        <v>NPOC</v>
      </c>
      <c r="M52" t="str">
        <f>"0.000"</f>
        <v>0.000</v>
      </c>
      <c r="N52" t="str">
        <f>"0.06002"</f>
        <v>0.06002</v>
      </c>
      <c r="O52" t="str">
        <f>"NPOC:0.06002mg/L TN:0.1609mg/L"</f>
        <v>NPOC:0.06002mg/L TN:0.1609mg/L</v>
      </c>
      <c r="P52">
        <v>0</v>
      </c>
      <c r="Q52" t="str">
        <f>"80"</f>
        <v>80</v>
      </c>
    </row>
    <row r="53" spans="1:17" x14ac:dyDescent="0.2">
      <c r="A53" t="str">
        <f>"Unknown"</f>
        <v>Unknown</v>
      </c>
      <c r="B53" t="str">
        <f>"NPOC/TN"</f>
        <v>NPOC/TN</v>
      </c>
      <c r="C53" t="str">
        <f>"DI"</f>
        <v>DI</v>
      </c>
      <c r="D53" t="str">
        <f>"DI"</f>
        <v>DI</v>
      </c>
      <c r="E53" t="str">
        <f>"C:\TOC3201\Methods\Itamar\acid_sample.met"</f>
        <v>C:\TOC3201\Methods\Itamar\acid_sample.met</v>
      </c>
      <c r="F53" t="str">
        <f>"C:\TOC3201\CalCurves\Itamar\C_cal_100ppm_acid_laurel.2019_08_15_10_24_40.cal"</f>
        <v>C:\TOC3201\CalCurves\Itamar\C_cal_100ppm_acid_laurel.2019_08_15_10_24_40.cal</v>
      </c>
      <c r="G53">
        <v>1</v>
      </c>
      <c r="H53" t="str">
        <f>""</f>
        <v/>
      </c>
      <c r="I53" t="str">
        <f>"8/15/2019 2:31:49 PM"</f>
        <v>8/15/2019 2:31:49 PM</v>
      </c>
      <c r="J53" t="str">
        <f>"1"</f>
        <v>1</v>
      </c>
      <c r="K53" t="str">
        <f>"2"</f>
        <v>2</v>
      </c>
      <c r="L53" t="str">
        <f>"NPOC"</f>
        <v>NPOC</v>
      </c>
      <c r="M53" t="str">
        <f>"0.000"</f>
        <v>0.000</v>
      </c>
      <c r="N53" t="str">
        <f>"0.06002"</f>
        <v>0.06002</v>
      </c>
      <c r="O53" t="str">
        <f>"NPOC:0.06002mg/L TN:0.1609mg/L"</f>
        <v>NPOC:0.06002mg/L TN:0.1609mg/L</v>
      </c>
      <c r="P53">
        <v>0</v>
      </c>
      <c r="Q53" t="str">
        <f>"80"</f>
        <v>80</v>
      </c>
    </row>
    <row r="54" spans="1:17" x14ac:dyDescent="0.2">
      <c r="A54" t="str">
        <f>"Unknown"</f>
        <v>Unknown</v>
      </c>
      <c r="B54" t="str">
        <f>"NPOC/TN"</f>
        <v>NPOC/TN</v>
      </c>
      <c r="C54" t="str">
        <f>"DI"</f>
        <v>DI</v>
      </c>
      <c r="D54" t="str">
        <f>"DI"</f>
        <v>DI</v>
      </c>
      <c r="E54" t="str">
        <f>"C:\TOC3201\Methods\Itamar\acid_sample.met"</f>
        <v>C:\TOC3201\Methods\Itamar\acid_sample.met</v>
      </c>
      <c r="F54" t="str">
        <f>"C:\TOC3201\CalCurves\Itamar\C_cal_100ppm_acid_laurel.2019_08_15_10_24_40.cal"</f>
        <v>C:\TOC3201\CalCurves\Itamar\C_cal_100ppm_acid_laurel.2019_08_15_10_24_40.cal</v>
      </c>
      <c r="G54">
        <v>1</v>
      </c>
      <c r="H54" t="str">
        <f>""</f>
        <v/>
      </c>
      <c r="I54" t="str">
        <f>"8/15/2019 2:33:53 PM"</f>
        <v>8/15/2019 2:33:53 PM</v>
      </c>
      <c r="J54" t="str">
        <f>"1"</f>
        <v>1</v>
      </c>
      <c r="K54" t="str">
        <f>"3"</f>
        <v>3</v>
      </c>
      <c r="L54" t="str">
        <f>"NPOC"</f>
        <v>NPOC</v>
      </c>
      <c r="M54" t="str">
        <f>"0.000"</f>
        <v>0.000</v>
      </c>
      <c r="N54" t="str">
        <f>"0.06002"</f>
        <v>0.06002</v>
      </c>
      <c r="O54" t="str">
        <f>"NPOC:0.06002mg/L TN:0.1609mg/L"</f>
        <v>NPOC:0.06002mg/L TN:0.1609mg/L</v>
      </c>
      <c r="P54">
        <v>0</v>
      </c>
      <c r="Q54" t="str">
        <f>"80"</f>
        <v>80</v>
      </c>
    </row>
    <row r="55" spans="1:17" x14ac:dyDescent="0.2">
      <c r="A55" t="str">
        <f>"Unknown"</f>
        <v>Unknown</v>
      </c>
      <c r="B55" t="str">
        <f>"NPOC/TN"</f>
        <v>NPOC/TN</v>
      </c>
      <c r="C55" t="str">
        <f>"DI"</f>
        <v>DI</v>
      </c>
      <c r="D55" t="str">
        <f>"DI"</f>
        <v>DI</v>
      </c>
      <c r="E55" t="str">
        <f>"C:\TOC3201\Methods\Itamar\acid_sample.met"</f>
        <v>C:\TOC3201\Methods\Itamar\acid_sample.met</v>
      </c>
      <c r="F55" t="str">
        <f>"C:\TOC3201\CalCurves\Itamar\N_cal_25ppm_acid_laurel.2019_08_15_12_20_41.cal"</f>
        <v>C:\TOC3201\CalCurves\Itamar\N_cal_25ppm_acid_laurel.2019_08_15_12_20_41.cal</v>
      </c>
      <c r="G55">
        <v>1</v>
      </c>
      <c r="H55" t="str">
        <f>""</f>
        <v/>
      </c>
      <c r="I55" t="str">
        <f>"8/15/2019 2:29:46 PM"</f>
        <v>8/15/2019 2:29:46 PM</v>
      </c>
      <c r="J55" t="str">
        <f>"1"</f>
        <v>1</v>
      </c>
      <c r="K55" t="str">
        <f>"1"</f>
        <v>1</v>
      </c>
      <c r="L55" t="str">
        <f>"TN"</f>
        <v>TN</v>
      </c>
      <c r="M55" t="str">
        <f>"0.000"</f>
        <v>0.000</v>
      </c>
      <c r="N55" t="str">
        <f>"0.1609"</f>
        <v>0.1609</v>
      </c>
      <c r="O55" t="str">
        <f>"NPOC:0.06002mg/L TN:0.1609mg/L"</f>
        <v>NPOC:0.06002mg/L TN:0.1609mg/L</v>
      </c>
      <c r="P55">
        <v>0</v>
      </c>
      <c r="Q55" t="str">
        <f>"80"</f>
        <v>80</v>
      </c>
    </row>
    <row r="56" spans="1:17" x14ac:dyDescent="0.2">
      <c r="A56" t="str">
        <f>"Unknown"</f>
        <v>Unknown</v>
      </c>
      <c r="B56" t="str">
        <f>"NPOC/TN"</f>
        <v>NPOC/TN</v>
      </c>
      <c r="C56" t="str">
        <f>"DI"</f>
        <v>DI</v>
      </c>
      <c r="D56" t="str">
        <f>"DI"</f>
        <v>DI</v>
      </c>
      <c r="E56" t="str">
        <f>"C:\TOC3201\Methods\Itamar\acid_sample.met"</f>
        <v>C:\TOC3201\Methods\Itamar\acid_sample.met</v>
      </c>
      <c r="F56" t="str">
        <f>"C:\TOC3201\CalCurves\Itamar\N_cal_25ppm_acid_laurel.2019_08_15_12_20_41.cal"</f>
        <v>C:\TOC3201\CalCurves\Itamar\N_cal_25ppm_acid_laurel.2019_08_15_12_20_41.cal</v>
      </c>
      <c r="G56">
        <v>1</v>
      </c>
      <c r="H56" t="str">
        <f>""</f>
        <v/>
      </c>
      <c r="I56" t="str">
        <f>"8/15/2019 2:31:49 PM"</f>
        <v>8/15/2019 2:31:49 PM</v>
      </c>
      <c r="J56" t="str">
        <f>"1"</f>
        <v>1</v>
      </c>
      <c r="K56" t="str">
        <f>"2"</f>
        <v>2</v>
      </c>
      <c r="L56" t="str">
        <f>"TN"</f>
        <v>TN</v>
      </c>
      <c r="M56" t="str">
        <f>"0.000"</f>
        <v>0.000</v>
      </c>
      <c r="N56" t="str">
        <f>"0.1609"</f>
        <v>0.1609</v>
      </c>
      <c r="O56" t="str">
        <f>"NPOC:0.06002mg/L TN:0.1609mg/L"</f>
        <v>NPOC:0.06002mg/L TN:0.1609mg/L</v>
      </c>
      <c r="P56">
        <v>0</v>
      </c>
      <c r="Q56" t="str">
        <f>"80"</f>
        <v>80</v>
      </c>
    </row>
    <row r="57" spans="1:17" x14ac:dyDescent="0.2">
      <c r="A57" t="str">
        <f>"Unknown"</f>
        <v>Unknown</v>
      </c>
      <c r="B57" t="str">
        <f>"NPOC/TN"</f>
        <v>NPOC/TN</v>
      </c>
      <c r="C57" t="str">
        <f>"DI"</f>
        <v>DI</v>
      </c>
      <c r="D57" t="str">
        <f>"DI"</f>
        <v>DI</v>
      </c>
      <c r="E57" t="str">
        <f>"C:\TOC3201\Methods\Itamar\acid_sample.met"</f>
        <v>C:\TOC3201\Methods\Itamar\acid_sample.met</v>
      </c>
      <c r="F57" t="str">
        <f>"C:\TOC3201\CalCurves\Itamar\N_cal_25ppm_acid_laurel.2019_08_15_12_20_41.cal"</f>
        <v>C:\TOC3201\CalCurves\Itamar\N_cal_25ppm_acid_laurel.2019_08_15_12_20_41.cal</v>
      </c>
      <c r="G57">
        <v>1</v>
      </c>
      <c r="H57" t="str">
        <f>""</f>
        <v/>
      </c>
      <c r="I57" t="str">
        <f>"8/15/2019 2:33:53 PM"</f>
        <v>8/15/2019 2:33:53 PM</v>
      </c>
      <c r="J57" t="str">
        <f>"1"</f>
        <v>1</v>
      </c>
      <c r="K57" t="str">
        <f>"3"</f>
        <v>3</v>
      </c>
      <c r="L57" t="str">
        <f>"TN"</f>
        <v>TN</v>
      </c>
      <c r="M57" t="str">
        <f>"0.000"</f>
        <v>0.000</v>
      </c>
      <c r="N57" t="str">
        <f>"0.1609"</f>
        <v>0.1609</v>
      </c>
      <c r="O57" t="str">
        <f>"NPOC:0.06002mg/L TN:0.1609mg/L"</f>
        <v>NPOC:0.06002mg/L TN:0.1609mg/L</v>
      </c>
      <c r="P57">
        <v>0</v>
      </c>
      <c r="Q57" t="str">
        <f>"80"</f>
        <v>80</v>
      </c>
    </row>
    <row r="58" spans="1:17" x14ac:dyDescent="0.2">
      <c r="A58" t="str">
        <f>"Unknown"</f>
        <v>Unknown</v>
      </c>
      <c r="B58" t="str">
        <f>"NPOC/TN"</f>
        <v>NPOC/TN</v>
      </c>
      <c r="C58" t="str">
        <f>"25ppm"</f>
        <v>25ppm</v>
      </c>
      <c r="D58" t="str">
        <f>"25ppm"</f>
        <v>25ppm</v>
      </c>
      <c r="E58" t="str">
        <f>"C:\TOC3201\Methods\Itamar\acid_sample.met"</f>
        <v>C:\TOC3201\Methods\Itamar\acid_sample.met</v>
      </c>
      <c r="F58" t="str">
        <f>"C:\TOC3201\CalCurves\Itamar\C_standard.2019_06_24_14_52_38.cal"</f>
        <v>C:\TOC3201\CalCurves\Itamar\C_standard.2019_06_24_14_52_38.cal</v>
      </c>
      <c r="G58">
        <v>1</v>
      </c>
      <c r="H58" t="str">
        <f>""</f>
        <v/>
      </c>
      <c r="I58" t="str">
        <f>"8/15/2019 2:44:02 PM"</f>
        <v>8/15/2019 2:44:02 PM</v>
      </c>
      <c r="J58" t="str">
        <f>"1"</f>
        <v>1</v>
      </c>
      <c r="K58" t="str">
        <f>"1"</f>
        <v>1</v>
      </c>
      <c r="L58" t="str">
        <f>"NPOC"</f>
        <v>NPOC</v>
      </c>
      <c r="M58" t="str">
        <f>"110.8"</f>
        <v>110.8</v>
      </c>
      <c r="N58" t="str">
        <f>"37.40"</f>
        <v>37.40</v>
      </c>
      <c r="O58" t="str">
        <f>"NPOC:38.69mg/L TN:23.68mg/L"</f>
        <v>NPOC:38.69mg/L TN:23.68mg/L</v>
      </c>
      <c r="P58">
        <v>0</v>
      </c>
      <c r="Q58" t="str">
        <f>"80"</f>
        <v>80</v>
      </c>
    </row>
    <row r="59" spans="1:17" x14ac:dyDescent="0.2">
      <c r="A59" t="str">
        <f>"Unknown"</f>
        <v>Unknown</v>
      </c>
      <c r="B59" t="str">
        <f>"NPOC/TN"</f>
        <v>NPOC/TN</v>
      </c>
      <c r="C59" t="str">
        <f>"25ppm"</f>
        <v>25ppm</v>
      </c>
      <c r="D59" t="str">
        <f>"25ppm"</f>
        <v>25ppm</v>
      </c>
      <c r="E59" t="str">
        <f>"C:\TOC3201\Methods\Itamar\acid_sample.met"</f>
        <v>C:\TOC3201\Methods\Itamar\acid_sample.met</v>
      </c>
      <c r="F59" t="str">
        <f>"C:\TOC3201\CalCurves\Itamar\C_standard.2019_06_24_14_52_38.cal"</f>
        <v>C:\TOC3201\CalCurves\Itamar\C_standard.2019_06_24_14_52_38.cal</v>
      </c>
      <c r="G59">
        <v>1</v>
      </c>
      <c r="H59" t="str">
        <f>""</f>
        <v/>
      </c>
      <c r="I59" t="str">
        <f>"8/15/2019 2:47:42 PM"</f>
        <v>8/15/2019 2:47:42 PM</v>
      </c>
      <c r="J59" t="str">
        <f>"1"</f>
        <v>1</v>
      </c>
      <c r="K59" t="str">
        <f>"2"</f>
        <v>2</v>
      </c>
      <c r="L59" t="str">
        <f>"NPOC"</f>
        <v>NPOC</v>
      </c>
      <c r="M59" t="str">
        <f>"107.8"</f>
        <v>107.8</v>
      </c>
      <c r="N59" t="str">
        <f>"40.03"</f>
        <v>40.03</v>
      </c>
      <c r="O59" t="str">
        <f>"NPOC:38.69mg/L TN:23.68mg/L"</f>
        <v>NPOC:38.69mg/L TN:23.68mg/L</v>
      </c>
      <c r="P59">
        <v>0</v>
      </c>
      <c r="Q59" t="str">
        <f>"80"</f>
        <v>80</v>
      </c>
    </row>
    <row r="60" spans="1:17" x14ac:dyDescent="0.2">
      <c r="A60" t="str">
        <f>"Unknown"</f>
        <v>Unknown</v>
      </c>
      <c r="B60" t="str">
        <f>"NPOC/TN"</f>
        <v>NPOC/TN</v>
      </c>
      <c r="C60" t="str">
        <f>"25ppm"</f>
        <v>25ppm</v>
      </c>
      <c r="D60" t="str">
        <f>"25ppm"</f>
        <v>25ppm</v>
      </c>
      <c r="E60" t="str">
        <f>"C:\TOC3201\Methods\Itamar\acid_sample.met"</f>
        <v>C:\TOC3201\Methods\Itamar\acid_sample.met</v>
      </c>
      <c r="F60" t="str">
        <f>"C:\TOC3201\CalCurves\Itamar\C_standard.2019_06_24_14_52_38.cal"</f>
        <v>C:\TOC3201\CalCurves\Itamar\C_standard.2019_06_24_14_52_38.cal</v>
      </c>
      <c r="G60">
        <v>1</v>
      </c>
      <c r="H60" t="str">
        <f>""</f>
        <v/>
      </c>
      <c r="I60" t="str">
        <f>"8/15/2019 2:51:28 PM"</f>
        <v>8/15/2019 2:51:28 PM</v>
      </c>
      <c r="J60" t="str">
        <f>"1"</f>
        <v>1</v>
      </c>
      <c r="K60" t="str">
        <f>"3"</f>
        <v>3</v>
      </c>
      <c r="L60" t="str">
        <f>"NPOC"</f>
        <v>NPOC</v>
      </c>
      <c r="M60" t="str">
        <f>"116.6"</f>
        <v>116.6</v>
      </c>
      <c r="N60" t="str">
        <f>"32.32"</f>
        <v>32.32</v>
      </c>
      <c r="O60" t="str">
        <f>"NPOC:38.69mg/L TN:23.68mg/L"</f>
        <v>NPOC:38.69mg/L TN:23.68mg/L</v>
      </c>
      <c r="P60">
        <v>1</v>
      </c>
      <c r="Q60" t="str">
        <f>"80"</f>
        <v>80</v>
      </c>
    </row>
    <row r="61" spans="1:17" x14ac:dyDescent="0.2">
      <c r="A61" t="str">
        <f>"Unknown"</f>
        <v>Unknown</v>
      </c>
      <c r="B61" t="str">
        <f>"NPOC/TN"</f>
        <v>NPOC/TN</v>
      </c>
      <c r="C61" t="str">
        <f>"25ppm"</f>
        <v>25ppm</v>
      </c>
      <c r="D61" t="str">
        <f>"25ppm"</f>
        <v>25ppm</v>
      </c>
      <c r="E61" t="str">
        <f>"C:\TOC3201\Methods\Itamar\acid_sample.met"</f>
        <v>C:\TOC3201\Methods\Itamar\acid_sample.met</v>
      </c>
      <c r="F61" t="str">
        <f>"C:\TOC3201\CalCurves\Itamar\C_standard.2019_06_24_14_52_38.cal"</f>
        <v>C:\TOC3201\CalCurves\Itamar\C_standard.2019_06_24_14_52_38.cal</v>
      </c>
      <c r="G61">
        <v>1</v>
      </c>
      <c r="H61" t="str">
        <f>""</f>
        <v/>
      </c>
      <c r="I61" t="str">
        <f>"8/15/2019 2:55:14 PM"</f>
        <v>8/15/2019 2:55:14 PM</v>
      </c>
      <c r="J61" t="str">
        <f>"1"</f>
        <v>1</v>
      </c>
      <c r="K61" t="str">
        <f>"4"</f>
        <v>4</v>
      </c>
      <c r="L61" t="str">
        <f>"NPOC"</f>
        <v>NPOC</v>
      </c>
      <c r="M61" t="str">
        <f>"115.8"</f>
        <v>115.8</v>
      </c>
      <c r="N61" t="str">
        <f>"33.02"</f>
        <v>33.02</v>
      </c>
      <c r="O61" t="str">
        <f>"NPOC:38.69mg/L TN:23.68mg/L"</f>
        <v>NPOC:38.69mg/L TN:23.68mg/L</v>
      </c>
      <c r="P61">
        <v>1</v>
      </c>
      <c r="Q61" t="str">
        <f>"80"</f>
        <v>80</v>
      </c>
    </row>
    <row r="62" spans="1:17" x14ac:dyDescent="0.2">
      <c r="A62" t="str">
        <f>"Unknown"</f>
        <v>Unknown</v>
      </c>
      <c r="B62" t="str">
        <f>"NPOC/TN"</f>
        <v>NPOC/TN</v>
      </c>
      <c r="C62" t="str">
        <f>"25ppm"</f>
        <v>25ppm</v>
      </c>
      <c r="D62" t="str">
        <f>"25ppm"</f>
        <v>25ppm</v>
      </c>
      <c r="E62" t="str">
        <f>"C:\TOC3201\Methods\Itamar\acid_sample.met"</f>
        <v>C:\TOC3201\Methods\Itamar\acid_sample.met</v>
      </c>
      <c r="F62" t="str">
        <f>"C:\TOC3201\CalCurves\Itamar\C_standard.2019_06_24_14_52_38.cal"</f>
        <v>C:\TOC3201\CalCurves\Itamar\C_standard.2019_06_24_14_52_38.cal</v>
      </c>
      <c r="G62">
        <v>1</v>
      </c>
      <c r="H62" t="str">
        <f>""</f>
        <v/>
      </c>
      <c r="I62" t="str">
        <f>"8/15/2019 2:58:54 PM"</f>
        <v>8/15/2019 2:58:54 PM</v>
      </c>
      <c r="J62" t="str">
        <f>"1"</f>
        <v>1</v>
      </c>
      <c r="K62" t="str">
        <f>"5"</f>
        <v>5</v>
      </c>
      <c r="L62" t="str">
        <f>"NPOC"</f>
        <v>NPOC</v>
      </c>
      <c r="M62" t="str">
        <f>"109.4"</f>
        <v>109.4</v>
      </c>
      <c r="N62" t="str">
        <f>"38.63"</f>
        <v>38.63</v>
      </c>
      <c r="O62" t="str">
        <f>"NPOC:38.69mg/L TN:23.68mg/L"</f>
        <v>NPOC:38.69mg/L TN:23.68mg/L</v>
      </c>
      <c r="P62">
        <v>0</v>
      </c>
      <c r="Q62" t="str">
        <f>"80"</f>
        <v>80</v>
      </c>
    </row>
    <row r="63" spans="1:17" x14ac:dyDescent="0.2">
      <c r="A63" t="str">
        <f>"Unknown"</f>
        <v>Unknown</v>
      </c>
      <c r="B63" t="str">
        <f>"NPOC/TN"</f>
        <v>NPOC/TN</v>
      </c>
      <c r="C63" t="str">
        <f>"25ppm"</f>
        <v>25ppm</v>
      </c>
      <c r="D63" t="str">
        <f>"25ppm"</f>
        <v>25ppm</v>
      </c>
      <c r="E63" t="str">
        <f>"C:\TOC3201\Methods\Itamar\acid_sample.met"</f>
        <v>C:\TOC3201\Methods\Itamar\acid_sample.met</v>
      </c>
      <c r="F63" t="str">
        <f>"C:\TOC3201\CalCurves\Itamar\N_cal_25ppm_acid_laurel.2019_08_15_12_20_41.cal"</f>
        <v>C:\TOC3201\CalCurves\Itamar\N_cal_25ppm_acid_laurel.2019_08_15_12_20_41.cal</v>
      </c>
      <c r="G63">
        <v>1</v>
      </c>
      <c r="H63" t="str">
        <f>""</f>
        <v/>
      </c>
      <c r="I63" t="str">
        <f>"8/15/2019 2:44:02 PM"</f>
        <v>8/15/2019 2:44:02 PM</v>
      </c>
      <c r="J63" t="str">
        <f>"1"</f>
        <v>1</v>
      </c>
      <c r="K63" t="str">
        <f>"1"</f>
        <v>1</v>
      </c>
      <c r="L63" t="str">
        <f>"TN"</f>
        <v>TN</v>
      </c>
      <c r="M63" t="str">
        <f>"93.02"</f>
        <v>93.02</v>
      </c>
      <c r="N63" t="str">
        <f>"23.86"</f>
        <v>23.86</v>
      </c>
      <c r="O63" t="str">
        <f>"NPOC:38.69mg/L TN:23.68mg/L"</f>
        <v>NPOC:38.69mg/L TN:23.68mg/L</v>
      </c>
      <c r="P63">
        <v>0</v>
      </c>
      <c r="Q63" t="str">
        <f>"80"</f>
        <v>80</v>
      </c>
    </row>
    <row r="64" spans="1:17" x14ac:dyDescent="0.2">
      <c r="A64" t="str">
        <f>"Unknown"</f>
        <v>Unknown</v>
      </c>
      <c r="B64" t="str">
        <f>"NPOC/TN"</f>
        <v>NPOC/TN</v>
      </c>
      <c r="C64" t="str">
        <f>"25ppm"</f>
        <v>25ppm</v>
      </c>
      <c r="D64" t="str">
        <f>"25ppm"</f>
        <v>25ppm</v>
      </c>
      <c r="E64" t="str">
        <f>"C:\TOC3201\Methods\Itamar\acid_sample.met"</f>
        <v>C:\TOC3201\Methods\Itamar\acid_sample.met</v>
      </c>
      <c r="F64" t="str">
        <f>"C:\TOC3201\CalCurves\Itamar\N_cal_25ppm_acid_laurel.2019_08_15_12_20_41.cal"</f>
        <v>C:\TOC3201\CalCurves\Itamar\N_cal_25ppm_acid_laurel.2019_08_15_12_20_41.cal</v>
      </c>
      <c r="G64">
        <v>1</v>
      </c>
      <c r="H64" t="str">
        <f>""</f>
        <v/>
      </c>
      <c r="I64" t="str">
        <f>"8/15/2019 2:47:42 PM"</f>
        <v>8/15/2019 2:47:42 PM</v>
      </c>
      <c r="J64" t="str">
        <f>"1"</f>
        <v>1</v>
      </c>
      <c r="K64" t="str">
        <f>"2"</f>
        <v>2</v>
      </c>
      <c r="L64" t="str">
        <f>"TN"</f>
        <v>TN</v>
      </c>
      <c r="M64" t="str">
        <f>"90.36"</f>
        <v>90.36</v>
      </c>
      <c r="N64" t="str">
        <f>"23.18"</f>
        <v>23.18</v>
      </c>
      <c r="O64" t="str">
        <f>"NPOC:38.69mg/L TN:23.68mg/L"</f>
        <v>NPOC:38.69mg/L TN:23.68mg/L</v>
      </c>
      <c r="P64">
        <v>0</v>
      </c>
      <c r="Q64" t="str">
        <f>"80"</f>
        <v>80</v>
      </c>
    </row>
    <row r="65" spans="1:17" x14ac:dyDescent="0.2">
      <c r="A65" t="str">
        <f>"Unknown"</f>
        <v>Unknown</v>
      </c>
      <c r="B65" t="str">
        <f>"NPOC/TN"</f>
        <v>NPOC/TN</v>
      </c>
      <c r="C65" t="str">
        <f>"25ppm"</f>
        <v>25ppm</v>
      </c>
      <c r="D65" t="str">
        <f>"25ppm"</f>
        <v>25ppm</v>
      </c>
      <c r="E65" t="str">
        <f>"C:\TOC3201\Methods\Itamar\acid_sample.met"</f>
        <v>C:\TOC3201\Methods\Itamar\acid_sample.met</v>
      </c>
      <c r="F65" t="str">
        <f>"C:\TOC3201\CalCurves\Itamar\N_cal_25ppm_acid_laurel.2019_08_15_12_20_41.cal"</f>
        <v>C:\TOC3201\CalCurves\Itamar\N_cal_25ppm_acid_laurel.2019_08_15_12_20_41.cal</v>
      </c>
      <c r="G65">
        <v>1</v>
      </c>
      <c r="H65" t="str">
        <f>""</f>
        <v/>
      </c>
      <c r="I65" t="str">
        <f>"8/15/2019 2:51:28 PM"</f>
        <v>8/15/2019 2:51:28 PM</v>
      </c>
      <c r="J65" t="str">
        <f>"1"</f>
        <v>1</v>
      </c>
      <c r="K65" t="str">
        <f>"3"</f>
        <v>3</v>
      </c>
      <c r="L65" t="str">
        <f>"TN"</f>
        <v>TN</v>
      </c>
      <c r="M65" t="str">
        <f>"98.50"</f>
        <v>98.50</v>
      </c>
      <c r="N65" t="str">
        <f>"25.26"</f>
        <v>25.26</v>
      </c>
      <c r="O65" t="str">
        <f>"NPOC:38.69mg/L TN:23.68mg/L"</f>
        <v>NPOC:38.69mg/L TN:23.68mg/L</v>
      </c>
      <c r="P65">
        <v>1</v>
      </c>
      <c r="Q65" t="str">
        <f>"80"</f>
        <v>80</v>
      </c>
    </row>
    <row r="66" spans="1:17" x14ac:dyDescent="0.2">
      <c r="A66" t="str">
        <f>"Unknown"</f>
        <v>Unknown</v>
      </c>
      <c r="B66" t="str">
        <f>"NPOC/TN"</f>
        <v>NPOC/TN</v>
      </c>
      <c r="C66" t="str">
        <f>"25ppm"</f>
        <v>25ppm</v>
      </c>
      <c r="D66" t="str">
        <f>"25ppm"</f>
        <v>25ppm</v>
      </c>
      <c r="E66" t="str">
        <f>"C:\TOC3201\Methods\Itamar\acid_sample.met"</f>
        <v>C:\TOC3201\Methods\Itamar\acid_sample.met</v>
      </c>
      <c r="F66" t="str">
        <f>"C:\TOC3201\CalCurves\Itamar\N_cal_25ppm_acid_laurel.2019_08_15_12_20_41.cal"</f>
        <v>C:\TOC3201\CalCurves\Itamar\N_cal_25ppm_acid_laurel.2019_08_15_12_20_41.cal</v>
      </c>
      <c r="G66">
        <v>1</v>
      </c>
      <c r="H66" t="str">
        <f>""</f>
        <v/>
      </c>
      <c r="I66" t="str">
        <f>"8/15/2019 2:55:14 PM"</f>
        <v>8/15/2019 2:55:14 PM</v>
      </c>
      <c r="J66" t="str">
        <f>"1"</f>
        <v>1</v>
      </c>
      <c r="K66" t="str">
        <f>"4"</f>
        <v>4</v>
      </c>
      <c r="L66" t="str">
        <f>"TN"</f>
        <v>TN</v>
      </c>
      <c r="M66" t="str">
        <f>"98.38"</f>
        <v>98.38</v>
      </c>
      <c r="N66" t="str">
        <f>"25.23"</f>
        <v>25.23</v>
      </c>
      <c r="O66" t="str">
        <f>"NPOC:38.69mg/L TN:23.68mg/L"</f>
        <v>NPOC:38.69mg/L TN:23.68mg/L</v>
      </c>
      <c r="P66">
        <v>1</v>
      </c>
      <c r="Q66" t="str">
        <f>"80"</f>
        <v>80</v>
      </c>
    </row>
    <row r="67" spans="1:17" x14ac:dyDescent="0.2">
      <c r="A67" t="str">
        <f>"Unknown"</f>
        <v>Unknown</v>
      </c>
      <c r="B67" t="str">
        <f>"NPOC/TN"</f>
        <v>NPOC/TN</v>
      </c>
      <c r="C67" t="str">
        <f>"25ppm"</f>
        <v>25ppm</v>
      </c>
      <c r="D67" t="str">
        <f>"25ppm"</f>
        <v>25ppm</v>
      </c>
      <c r="E67" t="str">
        <f>"C:\TOC3201\Methods\Itamar\acid_sample.met"</f>
        <v>C:\TOC3201\Methods\Itamar\acid_sample.met</v>
      </c>
      <c r="F67" t="str">
        <f>"C:\TOC3201\CalCurves\Itamar\N_cal_25ppm_acid_laurel.2019_08_15_12_20_41.cal"</f>
        <v>C:\TOC3201\CalCurves\Itamar\N_cal_25ppm_acid_laurel.2019_08_15_12_20_41.cal</v>
      </c>
      <c r="G67">
        <v>1</v>
      </c>
      <c r="H67" t="str">
        <f>""</f>
        <v/>
      </c>
      <c r="I67" t="str">
        <f>"8/15/2019 2:58:54 PM"</f>
        <v>8/15/2019 2:58:54 PM</v>
      </c>
      <c r="J67" t="str">
        <f>"1"</f>
        <v>1</v>
      </c>
      <c r="K67" t="str">
        <f>"5"</f>
        <v>5</v>
      </c>
      <c r="L67" t="str">
        <f>"TN"</f>
        <v>TN</v>
      </c>
      <c r="M67" t="str">
        <f>"93.54"</f>
        <v>93.54</v>
      </c>
      <c r="N67" t="str">
        <f>"23.99"</f>
        <v>23.99</v>
      </c>
      <c r="O67" t="str">
        <f>"NPOC:38.69mg/L TN:23.68mg/L"</f>
        <v>NPOC:38.69mg/L TN:23.68mg/L</v>
      </c>
      <c r="P67">
        <v>0</v>
      </c>
      <c r="Q67" t="str">
        <f>"80"</f>
        <v>80</v>
      </c>
    </row>
    <row r="68" spans="1:17" x14ac:dyDescent="0.2">
      <c r="A68" t="str">
        <f>"Unknown"</f>
        <v>Unknown</v>
      </c>
      <c r="B68" t="str">
        <f>"NPOC/TN"</f>
        <v>NPOC/TN</v>
      </c>
      <c r="C68" t="str">
        <f>"K2so4"</f>
        <v>K2so4</v>
      </c>
      <c r="D68" t="str">
        <f>"K2so4"</f>
        <v>K2so4</v>
      </c>
      <c r="E68" t="str">
        <f>"C:\TOC3201\Methods\Itamar\acid_sample.met"</f>
        <v>C:\TOC3201\Methods\Itamar\acid_sample.met</v>
      </c>
      <c r="F68" t="str">
        <f>"C:\TOC3201\CalCurves\Itamar\C_cal_100ppm_acid_laurel.2019_08_15_10_24_40.cal"</f>
        <v>C:\TOC3201\CalCurves\Itamar\C_cal_100ppm_acid_laurel.2019_08_15_10_24_40.cal</v>
      </c>
      <c r="G68">
        <v>1</v>
      </c>
      <c r="H68" t="str">
        <f>""</f>
        <v/>
      </c>
      <c r="I68" t="str">
        <f>"8/15/2019 3:08:04 PM"</f>
        <v>8/15/2019 3:08:04 PM</v>
      </c>
      <c r="J68" t="str">
        <f>"1"</f>
        <v>1</v>
      </c>
      <c r="K68" t="str">
        <f>"1"</f>
        <v>1</v>
      </c>
      <c r="L68" t="str">
        <f>"NPOC"</f>
        <v>NPOC</v>
      </c>
      <c r="M68" t="str">
        <f>"4.209"</f>
        <v>4.209</v>
      </c>
      <c r="N68" t="str">
        <f>"0.9243"</f>
        <v>0.9243</v>
      </c>
      <c r="O68" t="str">
        <f>"NPOC:0.9196mg/L TN:0.1609mg/L"</f>
        <v>NPOC:0.9196mg/L TN:0.1609mg/L</v>
      </c>
      <c r="P68">
        <v>0</v>
      </c>
      <c r="Q68" t="str">
        <f>"80"</f>
        <v>80</v>
      </c>
    </row>
    <row r="69" spans="1:17" x14ac:dyDescent="0.2">
      <c r="A69" t="str">
        <f>"Unknown"</f>
        <v>Unknown</v>
      </c>
      <c r="B69" t="str">
        <f>"NPOC/TN"</f>
        <v>NPOC/TN</v>
      </c>
      <c r="C69" t="str">
        <f>"K2so4"</f>
        <v>K2so4</v>
      </c>
      <c r="D69" t="str">
        <f>"K2so4"</f>
        <v>K2so4</v>
      </c>
      <c r="E69" t="str">
        <f>"C:\TOC3201\Methods\Itamar\acid_sample.met"</f>
        <v>C:\TOC3201\Methods\Itamar\acid_sample.met</v>
      </c>
      <c r="F69" t="str">
        <f>"C:\TOC3201\CalCurves\Itamar\C_cal_100ppm_acid_laurel.2019_08_15_10_24_40.cal"</f>
        <v>C:\TOC3201\CalCurves\Itamar\C_cal_100ppm_acid_laurel.2019_08_15_10_24_40.cal</v>
      </c>
      <c r="G69">
        <v>1</v>
      </c>
      <c r="H69" t="str">
        <f>""</f>
        <v/>
      </c>
      <c r="I69" t="str">
        <f>"8/15/2019 3:10:40 PM"</f>
        <v>8/15/2019 3:10:40 PM</v>
      </c>
      <c r="J69" t="str">
        <f>"1"</f>
        <v>1</v>
      </c>
      <c r="K69" t="str">
        <f>"2"</f>
        <v>2</v>
      </c>
      <c r="L69" t="str">
        <f>"NPOC"</f>
        <v>NPOC</v>
      </c>
      <c r="M69" t="str">
        <f>"4.168"</f>
        <v>4.168</v>
      </c>
      <c r="N69" t="str">
        <f>"0.9159"</f>
        <v>0.9159</v>
      </c>
      <c r="O69" t="str">
        <f>"NPOC:0.9196mg/L TN:0.1609mg/L"</f>
        <v>NPOC:0.9196mg/L TN:0.1609mg/L</v>
      </c>
      <c r="P69">
        <v>0</v>
      </c>
      <c r="Q69" t="str">
        <f>"80"</f>
        <v>80</v>
      </c>
    </row>
    <row r="70" spans="1:17" x14ac:dyDescent="0.2">
      <c r="A70" t="str">
        <f>"Unknown"</f>
        <v>Unknown</v>
      </c>
      <c r="B70" t="str">
        <f>"NPOC/TN"</f>
        <v>NPOC/TN</v>
      </c>
      <c r="C70" t="str">
        <f>"K2so4"</f>
        <v>K2so4</v>
      </c>
      <c r="D70" t="str">
        <f>"K2so4"</f>
        <v>K2so4</v>
      </c>
      <c r="E70" t="str">
        <f>"C:\TOC3201\Methods\Itamar\acid_sample.met"</f>
        <v>C:\TOC3201\Methods\Itamar\acid_sample.met</v>
      </c>
      <c r="F70" t="str">
        <f>"C:\TOC3201\CalCurves\Itamar\C_cal_100ppm_acid_laurel.2019_08_15_10_24_40.cal"</f>
        <v>C:\TOC3201\CalCurves\Itamar\C_cal_100ppm_acid_laurel.2019_08_15_10_24_40.cal</v>
      </c>
      <c r="G70">
        <v>1</v>
      </c>
      <c r="H70" t="str">
        <f>""</f>
        <v/>
      </c>
      <c r="I70" t="str">
        <f>"8/15/2019 3:13:15 PM"</f>
        <v>8/15/2019 3:13:15 PM</v>
      </c>
      <c r="J70" t="str">
        <f>"1"</f>
        <v>1</v>
      </c>
      <c r="K70" t="str">
        <f>"3"</f>
        <v>3</v>
      </c>
      <c r="L70" t="str">
        <f>"NPOC"</f>
        <v>NPOC</v>
      </c>
      <c r="M70" t="str">
        <f>"4.363"</f>
        <v>4.363</v>
      </c>
      <c r="N70" t="str">
        <f>"0.9560"</f>
        <v>0.9560</v>
      </c>
      <c r="O70" t="str">
        <f>"NPOC:0.9196mg/L TN:0.1609mg/L"</f>
        <v>NPOC:0.9196mg/L TN:0.1609mg/L</v>
      </c>
      <c r="P70">
        <v>1</v>
      </c>
      <c r="Q70" t="str">
        <f>"80"</f>
        <v>80</v>
      </c>
    </row>
    <row r="71" spans="1:17" x14ac:dyDescent="0.2">
      <c r="A71" t="str">
        <f>"Unknown"</f>
        <v>Unknown</v>
      </c>
      <c r="B71" t="str">
        <f>"NPOC/TN"</f>
        <v>NPOC/TN</v>
      </c>
      <c r="C71" t="str">
        <f>"K2so4"</f>
        <v>K2so4</v>
      </c>
      <c r="D71" t="str">
        <f>"K2so4"</f>
        <v>K2so4</v>
      </c>
      <c r="E71" t="str">
        <f>"C:\TOC3201\Methods\Itamar\acid_sample.met"</f>
        <v>C:\TOC3201\Methods\Itamar\acid_sample.met</v>
      </c>
      <c r="F71" t="str">
        <f>"C:\TOC3201\CalCurves\Itamar\C_cal_100ppm_acid_laurel.2019_08_15_10_24_40.cal"</f>
        <v>C:\TOC3201\CalCurves\Itamar\C_cal_100ppm_acid_laurel.2019_08_15_10_24_40.cal</v>
      </c>
      <c r="G71">
        <v>1</v>
      </c>
      <c r="H71" t="str">
        <f>""</f>
        <v/>
      </c>
      <c r="I71" t="str">
        <f>"8/15/2019 3:15:50 PM"</f>
        <v>8/15/2019 3:15:50 PM</v>
      </c>
      <c r="J71" t="str">
        <f>"1"</f>
        <v>1</v>
      </c>
      <c r="K71" t="str">
        <f>"4"</f>
        <v>4</v>
      </c>
      <c r="L71" t="str">
        <f>"NPOC"</f>
        <v>NPOC</v>
      </c>
      <c r="M71" t="str">
        <f>"4.181"</f>
        <v>4.181</v>
      </c>
      <c r="N71" t="str">
        <f>"0.9186"</f>
        <v>0.9186</v>
      </c>
      <c r="O71" t="str">
        <f>"NPOC:0.9196mg/L TN:0.1609mg/L"</f>
        <v>NPOC:0.9196mg/L TN:0.1609mg/L</v>
      </c>
      <c r="P71">
        <v>0</v>
      </c>
      <c r="Q71" t="str">
        <f>"80"</f>
        <v>80</v>
      </c>
    </row>
    <row r="72" spans="1:17" x14ac:dyDescent="0.2">
      <c r="A72" t="str">
        <f>"Unknown"</f>
        <v>Unknown</v>
      </c>
      <c r="B72" t="str">
        <f>"NPOC/TN"</f>
        <v>NPOC/TN</v>
      </c>
      <c r="C72" t="str">
        <f>"K2so4"</f>
        <v>K2so4</v>
      </c>
      <c r="D72" t="str">
        <f>"K2so4"</f>
        <v>K2so4</v>
      </c>
      <c r="E72" t="str">
        <f>"C:\TOC3201\Methods\Itamar\acid_sample.met"</f>
        <v>C:\TOC3201\Methods\Itamar\acid_sample.met</v>
      </c>
      <c r="F72" t="str">
        <f>"C:\TOC3201\CalCurves\Itamar\N_cal_25ppm_acid_laurel.2019_08_15_12_20_41.cal"</f>
        <v>C:\TOC3201\CalCurves\Itamar\N_cal_25ppm_acid_laurel.2019_08_15_12_20_41.cal</v>
      </c>
      <c r="G72">
        <v>1</v>
      </c>
      <c r="H72" t="str">
        <f>""</f>
        <v/>
      </c>
      <c r="I72" t="str">
        <f>"8/15/2019 3:08:04 PM"</f>
        <v>8/15/2019 3:08:04 PM</v>
      </c>
      <c r="J72" t="str">
        <f>"1"</f>
        <v>1</v>
      </c>
      <c r="K72" t="str">
        <f>"1"</f>
        <v>1</v>
      </c>
      <c r="L72" t="str">
        <f>"TN"</f>
        <v>TN</v>
      </c>
      <c r="M72" t="str">
        <f>"0.000"</f>
        <v>0.000</v>
      </c>
      <c r="N72" t="str">
        <f>"0.1609"</f>
        <v>0.1609</v>
      </c>
      <c r="O72" t="str">
        <f>"NPOC:0.9196mg/L TN:0.1609mg/L"</f>
        <v>NPOC:0.9196mg/L TN:0.1609mg/L</v>
      </c>
      <c r="P72">
        <v>0</v>
      </c>
      <c r="Q72" t="str">
        <f>"80"</f>
        <v>80</v>
      </c>
    </row>
    <row r="73" spans="1:17" x14ac:dyDescent="0.2">
      <c r="A73" t="str">
        <f>"Unknown"</f>
        <v>Unknown</v>
      </c>
      <c r="B73" t="str">
        <f>"NPOC/TN"</f>
        <v>NPOC/TN</v>
      </c>
      <c r="C73" t="str">
        <f>"K2so4"</f>
        <v>K2so4</v>
      </c>
      <c r="D73" t="str">
        <f>"K2so4"</f>
        <v>K2so4</v>
      </c>
      <c r="E73" t="str">
        <f>"C:\TOC3201\Methods\Itamar\acid_sample.met"</f>
        <v>C:\TOC3201\Methods\Itamar\acid_sample.met</v>
      </c>
      <c r="F73" t="str">
        <f>"C:\TOC3201\CalCurves\Itamar\N_cal_25ppm_acid_laurel.2019_08_15_12_20_41.cal"</f>
        <v>C:\TOC3201\CalCurves\Itamar\N_cal_25ppm_acid_laurel.2019_08_15_12_20_41.cal</v>
      </c>
      <c r="G73">
        <v>1</v>
      </c>
      <c r="H73" t="str">
        <f>""</f>
        <v/>
      </c>
      <c r="I73" t="str">
        <f>"8/15/2019 3:10:40 PM"</f>
        <v>8/15/2019 3:10:40 PM</v>
      </c>
      <c r="J73" t="str">
        <f>"1"</f>
        <v>1</v>
      </c>
      <c r="K73" t="str">
        <f>"2"</f>
        <v>2</v>
      </c>
      <c r="L73" t="str">
        <f>"TN"</f>
        <v>TN</v>
      </c>
      <c r="M73" t="str">
        <f>"0.000"</f>
        <v>0.000</v>
      </c>
      <c r="N73" t="str">
        <f>"0.1609"</f>
        <v>0.1609</v>
      </c>
      <c r="O73" t="str">
        <f>"NPOC:0.9196mg/L TN:0.1609mg/L"</f>
        <v>NPOC:0.9196mg/L TN:0.1609mg/L</v>
      </c>
      <c r="P73">
        <v>0</v>
      </c>
      <c r="Q73" t="str">
        <f>"80"</f>
        <v>80</v>
      </c>
    </row>
    <row r="74" spans="1:17" x14ac:dyDescent="0.2">
      <c r="A74" t="str">
        <f>"Unknown"</f>
        <v>Unknown</v>
      </c>
      <c r="B74" t="str">
        <f>"NPOC/TN"</f>
        <v>NPOC/TN</v>
      </c>
      <c r="C74" t="str">
        <f>"K2so4"</f>
        <v>K2so4</v>
      </c>
      <c r="D74" t="str">
        <f>"K2so4"</f>
        <v>K2so4</v>
      </c>
      <c r="E74" t="str">
        <f>"C:\TOC3201\Methods\Itamar\acid_sample.met"</f>
        <v>C:\TOC3201\Methods\Itamar\acid_sample.met</v>
      </c>
      <c r="F74" t="str">
        <f>"C:\TOC3201\CalCurves\Itamar\N_cal_25ppm_acid_laurel.2019_08_15_12_20_41.cal"</f>
        <v>C:\TOC3201\CalCurves\Itamar\N_cal_25ppm_acid_laurel.2019_08_15_12_20_41.cal</v>
      </c>
      <c r="G74">
        <v>1</v>
      </c>
      <c r="H74" t="str">
        <f>""</f>
        <v/>
      </c>
      <c r="I74" t="str">
        <f>"8/15/2019 3:13:15 PM"</f>
        <v>8/15/2019 3:13:15 PM</v>
      </c>
      <c r="J74" t="str">
        <f>"1"</f>
        <v>1</v>
      </c>
      <c r="K74" t="str">
        <f>"3"</f>
        <v>3</v>
      </c>
      <c r="L74" t="str">
        <f>"TN"</f>
        <v>TN</v>
      </c>
      <c r="M74" t="str">
        <f>"0.000"</f>
        <v>0.000</v>
      </c>
      <c r="N74" t="str">
        <f>"0.1609"</f>
        <v>0.1609</v>
      </c>
      <c r="O74" t="str">
        <f>"NPOC:0.9196mg/L TN:0.1609mg/L"</f>
        <v>NPOC:0.9196mg/L TN:0.1609mg/L</v>
      </c>
      <c r="P74">
        <v>0</v>
      </c>
      <c r="Q74" t="str">
        <f>"80"</f>
        <v>80</v>
      </c>
    </row>
    <row r="75" spans="1:17" x14ac:dyDescent="0.2">
      <c r="A75" t="str">
        <f>"Unknown"</f>
        <v>Unknown</v>
      </c>
      <c r="B75" t="str">
        <f>"NPOC/TN"</f>
        <v>NPOC/TN</v>
      </c>
      <c r="C75" t="str">
        <f>"1045"</f>
        <v>1045</v>
      </c>
      <c r="D75" t="str">
        <f>"1"</f>
        <v>1</v>
      </c>
      <c r="E75" t="str">
        <f>"C:\TOC3201\Methods\Itamar\acid_sample.met"</f>
        <v>C:\TOC3201\Methods\Itamar\acid_sample.met</v>
      </c>
      <c r="F75" t="str">
        <f>"C:\TOC3201\CalCurves\Itamar\C_cal_100ppm_acid_laurel.2019_08_15_10_24_40.cal"</f>
        <v>C:\TOC3201\CalCurves\Itamar\C_cal_100ppm_acid_laurel.2019_08_15_10_24_40.cal</v>
      </c>
      <c r="G75">
        <v>1</v>
      </c>
      <c r="H75" t="str">
        <f>""</f>
        <v/>
      </c>
      <c r="I75" t="str">
        <f>"8/15/2019 3:26:08 PM"</f>
        <v>8/15/2019 3:26:08 PM</v>
      </c>
      <c r="J75" t="str">
        <f>"1"</f>
        <v>1</v>
      </c>
      <c r="K75" t="str">
        <f>"1"</f>
        <v>1</v>
      </c>
      <c r="L75" t="str">
        <f>"NPOC"</f>
        <v>NPOC</v>
      </c>
      <c r="M75" t="str">
        <f>"116.0"</f>
        <v>116.0</v>
      </c>
      <c r="N75" t="str">
        <f>"23.88"</f>
        <v>23.88</v>
      </c>
      <c r="O75" t="str">
        <f>"NPOC:24.32mg/L TN:7.908mg/L"</f>
        <v>NPOC:24.32mg/L TN:7.908mg/L</v>
      </c>
      <c r="P75">
        <v>0</v>
      </c>
      <c r="Q75" t="str">
        <f>"80"</f>
        <v>80</v>
      </c>
    </row>
    <row r="76" spans="1:17" x14ac:dyDescent="0.2">
      <c r="A76" t="str">
        <f>"Unknown"</f>
        <v>Unknown</v>
      </c>
      <c r="B76" t="str">
        <f>"NPOC/TN"</f>
        <v>NPOC/TN</v>
      </c>
      <c r="C76" t="str">
        <f>"1045"</f>
        <v>1045</v>
      </c>
      <c r="D76" t="str">
        <f>"1"</f>
        <v>1</v>
      </c>
      <c r="E76" t="str">
        <f>"C:\TOC3201\Methods\Itamar\acid_sample.met"</f>
        <v>C:\TOC3201\Methods\Itamar\acid_sample.met</v>
      </c>
      <c r="F76" t="str">
        <f>"C:\TOC3201\CalCurves\Itamar\C_cal_100ppm_acid_laurel.2019_08_15_10_24_40.cal"</f>
        <v>C:\TOC3201\CalCurves\Itamar\C_cal_100ppm_acid_laurel.2019_08_15_10_24_40.cal</v>
      </c>
      <c r="G76">
        <v>1</v>
      </c>
      <c r="H76" t="str">
        <f>""</f>
        <v/>
      </c>
      <c r="I76" t="str">
        <f>"8/15/2019 3:29:47 PM"</f>
        <v>8/15/2019 3:29:47 PM</v>
      </c>
      <c r="J76" t="str">
        <f>"1"</f>
        <v>1</v>
      </c>
      <c r="K76" t="str">
        <f>"2"</f>
        <v>2</v>
      </c>
      <c r="L76" t="str">
        <f>"NPOC"</f>
        <v>NPOC</v>
      </c>
      <c r="M76" t="str">
        <f>"112.1"</f>
        <v>112.1</v>
      </c>
      <c r="N76" t="str">
        <f>"23.08"</f>
        <v>23.08</v>
      </c>
      <c r="O76" t="str">
        <f>"NPOC:24.32mg/L TN:7.908mg/L"</f>
        <v>NPOC:24.32mg/L TN:7.908mg/L</v>
      </c>
      <c r="P76">
        <v>1</v>
      </c>
      <c r="Q76" t="str">
        <f>"80"</f>
        <v>80</v>
      </c>
    </row>
    <row r="77" spans="1:17" x14ac:dyDescent="0.2">
      <c r="A77" t="str">
        <f>"Unknown"</f>
        <v>Unknown</v>
      </c>
      <c r="B77" t="str">
        <f>"NPOC/TN"</f>
        <v>NPOC/TN</v>
      </c>
      <c r="C77" t="str">
        <f>"1045"</f>
        <v>1045</v>
      </c>
      <c r="D77" t="str">
        <f>"1"</f>
        <v>1</v>
      </c>
      <c r="E77" t="str">
        <f>"C:\TOC3201\Methods\Itamar\acid_sample.met"</f>
        <v>C:\TOC3201\Methods\Itamar\acid_sample.met</v>
      </c>
      <c r="F77" t="str">
        <f>"C:\TOC3201\CalCurves\Itamar\C_cal_100ppm_acid_laurel.2019_08_15_10_24_40.cal"</f>
        <v>C:\TOC3201\CalCurves\Itamar\C_cal_100ppm_acid_laurel.2019_08_15_10_24_40.cal</v>
      </c>
      <c r="G77">
        <v>1</v>
      </c>
      <c r="H77" t="str">
        <f>""</f>
        <v/>
      </c>
      <c r="I77" t="str">
        <f>"8/15/2019 3:33:33 PM"</f>
        <v>8/15/2019 3:33:33 PM</v>
      </c>
      <c r="J77" t="str">
        <f>"1"</f>
        <v>1</v>
      </c>
      <c r="K77" t="str">
        <f>"3"</f>
        <v>3</v>
      </c>
      <c r="L77" t="str">
        <f>"NPOC"</f>
        <v>NPOC</v>
      </c>
      <c r="M77" t="str">
        <f>"120.3"</f>
        <v>120.3</v>
      </c>
      <c r="N77" t="str">
        <f>"24.76"</f>
        <v>24.76</v>
      </c>
      <c r="O77" t="str">
        <f>"NPOC:24.32mg/L TN:7.908mg/L"</f>
        <v>NPOC:24.32mg/L TN:7.908mg/L</v>
      </c>
      <c r="P77">
        <v>0</v>
      </c>
      <c r="Q77" t="str">
        <f>"80"</f>
        <v>80</v>
      </c>
    </row>
    <row r="78" spans="1:17" x14ac:dyDescent="0.2">
      <c r="A78" t="str">
        <f>"Unknown"</f>
        <v>Unknown</v>
      </c>
      <c r="B78" t="str">
        <f>"NPOC/TN"</f>
        <v>NPOC/TN</v>
      </c>
      <c r="C78" t="str">
        <f>"1045"</f>
        <v>1045</v>
      </c>
      <c r="D78" t="str">
        <f>"1"</f>
        <v>1</v>
      </c>
      <c r="E78" t="str">
        <f>"C:\TOC3201\Methods\Itamar\acid_sample.met"</f>
        <v>C:\TOC3201\Methods\Itamar\acid_sample.met</v>
      </c>
      <c r="F78" t="str">
        <f>"C:\TOC3201\CalCurves\Itamar\C_cal_100ppm_acid_laurel.2019_08_15_10_24_40.cal"</f>
        <v>C:\TOC3201\CalCurves\Itamar\C_cal_100ppm_acid_laurel.2019_08_15_10_24_40.cal</v>
      </c>
      <c r="G78">
        <v>1</v>
      </c>
      <c r="H78" t="str">
        <f>""</f>
        <v/>
      </c>
      <c r="I78" t="str">
        <f>"8/15/2019 3:37:13 PM"</f>
        <v>8/15/2019 3:37:13 PM</v>
      </c>
      <c r="J78" t="str">
        <f>"1"</f>
        <v>1</v>
      </c>
      <c r="K78" t="str">
        <f>"4"</f>
        <v>4</v>
      </c>
      <c r="L78" t="str">
        <f>"NPOC"</f>
        <v>NPOC</v>
      </c>
      <c r="M78" t="str">
        <f>"118.1"</f>
        <v>118.1</v>
      </c>
      <c r="N78" t="str">
        <f>"24.31"</f>
        <v>24.31</v>
      </c>
      <c r="O78" t="str">
        <f>"NPOC:24.32mg/L TN:7.908mg/L"</f>
        <v>NPOC:24.32mg/L TN:7.908mg/L</v>
      </c>
      <c r="P78">
        <v>0</v>
      </c>
      <c r="Q78" t="str">
        <f>"80"</f>
        <v>80</v>
      </c>
    </row>
    <row r="79" spans="1:17" x14ac:dyDescent="0.2">
      <c r="A79" t="str">
        <f>"Unknown"</f>
        <v>Unknown</v>
      </c>
      <c r="B79" t="str">
        <f>"NPOC/TN"</f>
        <v>NPOC/TN</v>
      </c>
      <c r="C79" t="str">
        <f>"1045"</f>
        <v>1045</v>
      </c>
      <c r="D79" t="str">
        <f>"1"</f>
        <v>1</v>
      </c>
      <c r="E79" t="str">
        <f>"C:\TOC3201\Methods\Itamar\acid_sample.met"</f>
        <v>C:\TOC3201\Methods\Itamar\acid_sample.met</v>
      </c>
      <c r="F79" t="str">
        <f>"C:\TOC3201\CalCurves\Itamar\N_cal_25ppm_acid_laurel.2019_08_15_12_20_41.cal"</f>
        <v>C:\TOC3201\CalCurves\Itamar\N_cal_25ppm_acid_laurel.2019_08_15_12_20_41.cal</v>
      </c>
      <c r="G79">
        <v>1</v>
      </c>
      <c r="H79" t="str">
        <f>""</f>
        <v/>
      </c>
      <c r="I79" t="str">
        <f>"8/15/2019 3:26:08 PM"</f>
        <v>8/15/2019 3:26:08 PM</v>
      </c>
      <c r="J79" t="str">
        <f>"1"</f>
        <v>1</v>
      </c>
      <c r="K79" t="str">
        <f>"1"</f>
        <v>1</v>
      </c>
      <c r="L79" t="str">
        <f>"TN"</f>
        <v>TN</v>
      </c>
      <c r="M79" t="str">
        <f>"29.80"</f>
        <v>29.80</v>
      </c>
      <c r="N79" t="str">
        <f>"7.754"</f>
        <v>7.754</v>
      </c>
      <c r="O79" t="str">
        <f>"NPOC:24.32mg/L TN:7.908mg/L"</f>
        <v>NPOC:24.32mg/L TN:7.908mg/L</v>
      </c>
      <c r="P79">
        <v>0</v>
      </c>
      <c r="Q79" t="str">
        <f>"80"</f>
        <v>80</v>
      </c>
    </row>
    <row r="80" spans="1:17" x14ac:dyDescent="0.2">
      <c r="A80" t="str">
        <f>"Unknown"</f>
        <v>Unknown</v>
      </c>
      <c r="B80" t="str">
        <f>"NPOC/TN"</f>
        <v>NPOC/TN</v>
      </c>
      <c r="C80" t="str">
        <f>"1045"</f>
        <v>1045</v>
      </c>
      <c r="D80" t="str">
        <f>"1"</f>
        <v>1</v>
      </c>
      <c r="E80" t="str">
        <f>"C:\TOC3201\Methods\Itamar\acid_sample.met"</f>
        <v>C:\TOC3201\Methods\Itamar\acid_sample.met</v>
      </c>
      <c r="F80" t="str">
        <f>"C:\TOC3201\CalCurves\Itamar\N_cal_25ppm_acid_laurel.2019_08_15_12_20_41.cal"</f>
        <v>C:\TOC3201\CalCurves\Itamar\N_cal_25ppm_acid_laurel.2019_08_15_12_20_41.cal</v>
      </c>
      <c r="G80">
        <v>1</v>
      </c>
      <c r="H80" t="str">
        <f>""</f>
        <v/>
      </c>
      <c r="I80" t="str">
        <f>"8/15/2019 3:29:48 PM"</f>
        <v>8/15/2019 3:29:48 PM</v>
      </c>
      <c r="J80" t="str">
        <f>"1"</f>
        <v>1</v>
      </c>
      <c r="K80" t="str">
        <f>"2"</f>
        <v>2</v>
      </c>
      <c r="L80" t="str">
        <f>"TN"</f>
        <v>TN</v>
      </c>
      <c r="M80" t="str">
        <f>"28.65"</f>
        <v>28.65</v>
      </c>
      <c r="N80" t="str">
        <f>"7.461"</f>
        <v>7.461</v>
      </c>
      <c r="O80" t="str">
        <f>"NPOC:24.32mg/L TN:7.908mg/L"</f>
        <v>NPOC:24.32mg/L TN:7.908mg/L</v>
      </c>
      <c r="P80">
        <v>1</v>
      </c>
      <c r="Q80" t="str">
        <f>"80"</f>
        <v>80</v>
      </c>
    </row>
    <row r="81" spans="1:17" x14ac:dyDescent="0.2">
      <c r="A81" t="str">
        <f>"Unknown"</f>
        <v>Unknown</v>
      </c>
      <c r="B81" t="str">
        <f>"NPOC/TN"</f>
        <v>NPOC/TN</v>
      </c>
      <c r="C81" t="str">
        <f>"1045"</f>
        <v>1045</v>
      </c>
      <c r="D81" t="str">
        <f>"1"</f>
        <v>1</v>
      </c>
      <c r="E81" t="str">
        <f>"C:\TOC3201\Methods\Itamar\acid_sample.met"</f>
        <v>C:\TOC3201\Methods\Itamar\acid_sample.met</v>
      </c>
      <c r="F81" t="str">
        <f>"C:\TOC3201\CalCurves\Itamar\N_cal_25ppm_acid_laurel.2019_08_15_12_20_41.cal"</f>
        <v>C:\TOC3201\CalCurves\Itamar\N_cal_25ppm_acid_laurel.2019_08_15_12_20_41.cal</v>
      </c>
      <c r="G81">
        <v>1</v>
      </c>
      <c r="H81" t="str">
        <f>""</f>
        <v/>
      </c>
      <c r="I81" t="str">
        <f>"8/15/2019 3:33:33 PM"</f>
        <v>8/15/2019 3:33:33 PM</v>
      </c>
      <c r="J81" t="str">
        <f>"1"</f>
        <v>1</v>
      </c>
      <c r="K81" t="str">
        <f>"3"</f>
        <v>3</v>
      </c>
      <c r="L81" t="str">
        <f>"TN"</f>
        <v>TN</v>
      </c>
      <c r="M81" t="str">
        <f>"30.77"</f>
        <v>30.77</v>
      </c>
      <c r="N81" t="str">
        <f>"8.001"</f>
        <v>8.001</v>
      </c>
      <c r="O81" t="str">
        <f>"NPOC:24.32mg/L TN:7.908mg/L"</f>
        <v>NPOC:24.32mg/L TN:7.908mg/L</v>
      </c>
      <c r="P81">
        <v>0</v>
      </c>
      <c r="Q81" t="str">
        <f>"80"</f>
        <v>80</v>
      </c>
    </row>
    <row r="82" spans="1:17" x14ac:dyDescent="0.2">
      <c r="A82" t="str">
        <f>"Unknown"</f>
        <v>Unknown</v>
      </c>
      <c r="B82" t="str">
        <f>"NPOC/TN"</f>
        <v>NPOC/TN</v>
      </c>
      <c r="C82" t="str">
        <f>"1045"</f>
        <v>1045</v>
      </c>
      <c r="D82" t="str">
        <f>"1"</f>
        <v>1</v>
      </c>
      <c r="E82" t="str">
        <f>"C:\TOC3201\Methods\Itamar\acid_sample.met"</f>
        <v>C:\TOC3201\Methods\Itamar\acid_sample.met</v>
      </c>
      <c r="F82" t="str">
        <f>"C:\TOC3201\CalCurves\Itamar\N_cal_25ppm_acid_laurel.2019_08_15_12_20_41.cal"</f>
        <v>C:\TOC3201\CalCurves\Itamar\N_cal_25ppm_acid_laurel.2019_08_15_12_20_41.cal</v>
      </c>
      <c r="G82">
        <v>1</v>
      </c>
      <c r="H82" t="str">
        <f>""</f>
        <v/>
      </c>
      <c r="I82" t="str">
        <f>"8/15/2019 3:37:13 PM"</f>
        <v>8/15/2019 3:37:13 PM</v>
      </c>
      <c r="J82" t="str">
        <f>"1"</f>
        <v>1</v>
      </c>
      <c r="K82" t="str">
        <f>"4"</f>
        <v>4</v>
      </c>
      <c r="L82" t="str">
        <f>"TN"</f>
        <v>TN</v>
      </c>
      <c r="M82" t="str">
        <f>"30.64"</f>
        <v>30.64</v>
      </c>
      <c r="N82" t="str">
        <f>"7.968"</f>
        <v>7.968</v>
      </c>
      <c r="O82" t="str">
        <f>"NPOC:24.32mg/L TN:7.908mg/L"</f>
        <v>NPOC:24.32mg/L TN:7.908mg/L</v>
      </c>
      <c r="P82">
        <v>0</v>
      </c>
      <c r="Q82" t="str">
        <f>"80"</f>
        <v>80</v>
      </c>
    </row>
    <row r="83" spans="1:17" x14ac:dyDescent="0.2">
      <c r="A83" t="str">
        <f>"Unknown"</f>
        <v>Unknown</v>
      </c>
      <c r="B83" t="str">
        <f>"NPOC/TN"</f>
        <v>NPOC/TN</v>
      </c>
      <c r="C83" t="str">
        <f>"1047"</f>
        <v>1047</v>
      </c>
      <c r="D83" t="str">
        <f>"2"</f>
        <v>2</v>
      </c>
      <c r="E83" t="str">
        <f>"C:\TOC3201\Methods\Itamar\acid_sample.met"</f>
        <v>C:\TOC3201\Methods\Itamar\acid_sample.met</v>
      </c>
      <c r="F83" t="str">
        <f>"C:\TOC3201\CalCurves\Itamar\C_cal_100ppm_acid_laurel.2019_08_15_10_24_40.cal"</f>
        <v>C:\TOC3201\CalCurves\Itamar\C_cal_100ppm_acid_laurel.2019_08_15_10_24_40.cal</v>
      </c>
      <c r="G83">
        <v>1</v>
      </c>
      <c r="H83" t="str">
        <f>""</f>
        <v/>
      </c>
      <c r="I83" t="str">
        <f>"8/15/2019 3:47:31 PM"</f>
        <v>8/15/2019 3:47:31 PM</v>
      </c>
      <c r="J83" t="str">
        <f>"1"</f>
        <v>1</v>
      </c>
      <c r="K83" t="str">
        <f>"1"</f>
        <v>1</v>
      </c>
      <c r="L83" t="str">
        <f>"NPOC"</f>
        <v>NPOC</v>
      </c>
      <c r="M83" t="str">
        <f>"118.1"</f>
        <v>118.1</v>
      </c>
      <c r="N83" t="str">
        <f>"24.31"</f>
        <v>24.31</v>
      </c>
      <c r="O83" t="str">
        <f>"NPOC:24.79mg/L TN:7.635mg/L"</f>
        <v>NPOC:24.79mg/L TN:7.635mg/L</v>
      </c>
      <c r="P83">
        <v>0</v>
      </c>
      <c r="Q83" t="str">
        <f>"80"</f>
        <v>80</v>
      </c>
    </row>
    <row r="84" spans="1:17" x14ac:dyDescent="0.2">
      <c r="A84" t="str">
        <f>"Unknown"</f>
        <v>Unknown</v>
      </c>
      <c r="B84" t="str">
        <f>"NPOC/TN"</f>
        <v>NPOC/TN</v>
      </c>
      <c r="C84" t="str">
        <f>"1047"</f>
        <v>1047</v>
      </c>
      <c r="D84" t="str">
        <f>"2"</f>
        <v>2</v>
      </c>
      <c r="E84" t="str">
        <f>"C:\TOC3201\Methods\Itamar\acid_sample.met"</f>
        <v>C:\TOC3201\Methods\Itamar\acid_sample.met</v>
      </c>
      <c r="F84" t="str">
        <f>"C:\TOC3201\CalCurves\Itamar\C_cal_100ppm_acid_laurel.2019_08_15_10_24_40.cal"</f>
        <v>C:\TOC3201\CalCurves\Itamar\C_cal_100ppm_acid_laurel.2019_08_15_10_24_40.cal</v>
      </c>
      <c r="G84">
        <v>1</v>
      </c>
      <c r="H84" t="str">
        <f>""</f>
        <v/>
      </c>
      <c r="I84" t="str">
        <f>"8/15/2019 3:51:12 PM"</f>
        <v>8/15/2019 3:51:12 PM</v>
      </c>
      <c r="J84" t="str">
        <f>"1"</f>
        <v>1</v>
      </c>
      <c r="K84" t="str">
        <f>"2"</f>
        <v>2</v>
      </c>
      <c r="L84" t="str">
        <f>"NPOC"</f>
        <v>NPOC</v>
      </c>
      <c r="M84" t="str">
        <f>"115.0"</f>
        <v>115.0</v>
      </c>
      <c r="N84" t="str">
        <f>"23.68"</f>
        <v>23.68</v>
      </c>
      <c r="O84" t="str">
        <f>"NPOC:24.79mg/L TN:7.635mg/L"</f>
        <v>NPOC:24.79mg/L TN:7.635mg/L</v>
      </c>
      <c r="P84">
        <v>1</v>
      </c>
      <c r="Q84" t="str">
        <f>"80"</f>
        <v>80</v>
      </c>
    </row>
    <row r="85" spans="1:17" x14ac:dyDescent="0.2">
      <c r="A85" t="str">
        <f>"Unknown"</f>
        <v>Unknown</v>
      </c>
      <c r="B85" t="str">
        <f>"NPOC/TN"</f>
        <v>NPOC/TN</v>
      </c>
      <c r="C85" t="str">
        <f>"1047"</f>
        <v>1047</v>
      </c>
      <c r="D85" t="str">
        <f>"2"</f>
        <v>2</v>
      </c>
      <c r="E85" t="str">
        <f>"C:\TOC3201\Methods\Itamar\acid_sample.met"</f>
        <v>C:\TOC3201\Methods\Itamar\acid_sample.met</v>
      </c>
      <c r="F85" t="str">
        <f>"C:\TOC3201\CalCurves\Itamar\C_cal_100ppm_acid_laurel.2019_08_15_10_24_40.cal"</f>
        <v>C:\TOC3201\CalCurves\Itamar\C_cal_100ppm_acid_laurel.2019_08_15_10_24_40.cal</v>
      </c>
      <c r="G85">
        <v>1</v>
      </c>
      <c r="H85" t="str">
        <f>""</f>
        <v/>
      </c>
      <c r="I85" t="str">
        <f>"8/15/2019 3:55:05 PM"</f>
        <v>8/15/2019 3:55:05 PM</v>
      </c>
      <c r="J85" t="str">
        <f>"1"</f>
        <v>1</v>
      </c>
      <c r="K85" t="str">
        <f>"3"</f>
        <v>3</v>
      </c>
      <c r="L85" t="str">
        <f>"NPOC"</f>
        <v>NPOC</v>
      </c>
      <c r="M85" t="str">
        <f>"122.6"</f>
        <v>122.6</v>
      </c>
      <c r="N85" t="str">
        <f>"25.24"</f>
        <v>25.24</v>
      </c>
      <c r="O85" t="str">
        <f>"NPOC:24.79mg/L TN:7.635mg/L"</f>
        <v>NPOC:24.79mg/L TN:7.635mg/L</v>
      </c>
      <c r="P85">
        <v>0</v>
      </c>
      <c r="Q85" t="str">
        <f>"80"</f>
        <v>80</v>
      </c>
    </row>
    <row r="86" spans="1:17" x14ac:dyDescent="0.2">
      <c r="A86" t="str">
        <f>"Unknown"</f>
        <v>Unknown</v>
      </c>
      <c r="B86" t="str">
        <f>"NPOC/TN"</f>
        <v>NPOC/TN</v>
      </c>
      <c r="C86" t="str">
        <f>"1047"</f>
        <v>1047</v>
      </c>
      <c r="D86" t="str">
        <f>"2"</f>
        <v>2</v>
      </c>
      <c r="E86" t="str">
        <f>"C:\TOC3201\Methods\Itamar\acid_sample.met"</f>
        <v>C:\TOC3201\Methods\Itamar\acid_sample.met</v>
      </c>
      <c r="F86" t="str">
        <f>"C:\TOC3201\CalCurves\Itamar\C_cal_100ppm_acid_laurel.2019_08_15_10_24_40.cal"</f>
        <v>C:\TOC3201\CalCurves\Itamar\C_cal_100ppm_acid_laurel.2019_08_15_10_24_40.cal</v>
      </c>
      <c r="G86">
        <v>1</v>
      </c>
      <c r="H86" t="str">
        <f>""</f>
        <v/>
      </c>
      <c r="I86" t="str">
        <f>"8/15/2019 3:58:46 PM"</f>
        <v>8/15/2019 3:58:46 PM</v>
      </c>
      <c r="J86" t="str">
        <f>"1"</f>
        <v>1</v>
      </c>
      <c r="K86" t="str">
        <f>"4"</f>
        <v>4</v>
      </c>
      <c r="L86" t="str">
        <f>"NPOC"</f>
        <v>NPOC</v>
      </c>
      <c r="M86" t="str">
        <f>"120.6"</f>
        <v>120.6</v>
      </c>
      <c r="N86" t="str">
        <f>"24.83"</f>
        <v>24.83</v>
      </c>
      <c r="O86" t="str">
        <f>"NPOC:24.79mg/L TN:7.635mg/L"</f>
        <v>NPOC:24.79mg/L TN:7.635mg/L</v>
      </c>
      <c r="P86">
        <v>0</v>
      </c>
      <c r="Q86" t="str">
        <f>"80"</f>
        <v>80</v>
      </c>
    </row>
    <row r="87" spans="1:17" x14ac:dyDescent="0.2">
      <c r="A87" t="str">
        <f>"Unknown"</f>
        <v>Unknown</v>
      </c>
      <c r="B87" t="str">
        <f>"NPOC/TN"</f>
        <v>NPOC/TN</v>
      </c>
      <c r="C87" t="str">
        <f>"1047"</f>
        <v>1047</v>
      </c>
      <c r="D87" t="str">
        <f>"2"</f>
        <v>2</v>
      </c>
      <c r="E87" t="str">
        <f>"C:\TOC3201\Methods\Itamar\acid_sample.met"</f>
        <v>C:\TOC3201\Methods\Itamar\acid_sample.met</v>
      </c>
      <c r="F87" t="str">
        <f>"C:\TOC3201\CalCurves\Itamar\N_cal_25ppm_acid_laurel.2019_08_15_12_20_41.cal"</f>
        <v>C:\TOC3201\CalCurves\Itamar\N_cal_25ppm_acid_laurel.2019_08_15_12_20_41.cal</v>
      </c>
      <c r="G87">
        <v>1</v>
      </c>
      <c r="H87" t="str">
        <f>""</f>
        <v/>
      </c>
      <c r="I87" t="str">
        <f>"8/15/2019 3:47:31 PM"</f>
        <v>8/15/2019 3:47:31 PM</v>
      </c>
      <c r="J87" t="str">
        <f>"1"</f>
        <v>1</v>
      </c>
      <c r="K87" t="str">
        <f>"1"</f>
        <v>1</v>
      </c>
      <c r="L87" t="str">
        <f>"TN"</f>
        <v>TN</v>
      </c>
      <c r="M87" t="str">
        <f>"29.11"</f>
        <v>29.11</v>
      </c>
      <c r="N87" t="str">
        <f>"7.578"</f>
        <v>7.578</v>
      </c>
      <c r="O87" t="str">
        <f>"NPOC:24.79mg/L TN:7.635mg/L"</f>
        <v>NPOC:24.79mg/L TN:7.635mg/L</v>
      </c>
      <c r="P87">
        <v>0</v>
      </c>
      <c r="Q87" t="str">
        <f>"80"</f>
        <v>80</v>
      </c>
    </row>
    <row r="88" spans="1:17" x14ac:dyDescent="0.2">
      <c r="A88" t="str">
        <f>"Unknown"</f>
        <v>Unknown</v>
      </c>
      <c r="B88" t="str">
        <f>"NPOC/TN"</f>
        <v>NPOC/TN</v>
      </c>
      <c r="C88" t="str">
        <f>"1047"</f>
        <v>1047</v>
      </c>
      <c r="D88" t="str">
        <f>"2"</f>
        <v>2</v>
      </c>
      <c r="E88" t="str">
        <f>"C:\TOC3201\Methods\Itamar\acid_sample.met"</f>
        <v>C:\TOC3201\Methods\Itamar\acid_sample.met</v>
      </c>
      <c r="F88" t="str">
        <f>"C:\TOC3201\CalCurves\Itamar\N_cal_25ppm_acid_laurel.2019_08_15_12_20_41.cal"</f>
        <v>C:\TOC3201\CalCurves\Itamar\N_cal_25ppm_acid_laurel.2019_08_15_12_20_41.cal</v>
      </c>
      <c r="G88">
        <v>1</v>
      </c>
      <c r="H88" t="str">
        <f>""</f>
        <v/>
      </c>
      <c r="I88" t="str">
        <f>"8/15/2019 3:51:12 PM"</f>
        <v>8/15/2019 3:51:12 PM</v>
      </c>
      <c r="J88" t="str">
        <f>"1"</f>
        <v>1</v>
      </c>
      <c r="K88" t="str">
        <f>"2"</f>
        <v>2</v>
      </c>
      <c r="L88" t="str">
        <f>"TN"</f>
        <v>TN</v>
      </c>
      <c r="M88" t="str">
        <f>"27.67"</f>
        <v>27.67</v>
      </c>
      <c r="N88" t="str">
        <f>"7.211"</f>
        <v>7.211</v>
      </c>
      <c r="O88" t="str">
        <f>"NPOC:24.79mg/L TN:7.635mg/L"</f>
        <v>NPOC:24.79mg/L TN:7.635mg/L</v>
      </c>
      <c r="P88">
        <v>1</v>
      </c>
      <c r="Q88" t="str">
        <f>"80"</f>
        <v>80</v>
      </c>
    </row>
    <row r="89" spans="1:17" x14ac:dyDescent="0.2">
      <c r="A89" t="str">
        <f>"Unknown"</f>
        <v>Unknown</v>
      </c>
      <c r="B89" t="str">
        <f>"NPOC/TN"</f>
        <v>NPOC/TN</v>
      </c>
      <c r="C89" t="str">
        <f>"1047"</f>
        <v>1047</v>
      </c>
      <c r="D89" t="str">
        <f>"2"</f>
        <v>2</v>
      </c>
      <c r="E89" t="str">
        <f>"C:\TOC3201\Methods\Itamar\acid_sample.met"</f>
        <v>C:\TOC3201\Methods\Itamar\acid_sample.met</v>
      </c>
      <c r="F89" t="str">
        <f>"C:\TOC3201\CalCurves\Itamar\N_cal_25ppm_acid_laurel.2019_08_15_12_20_41.cal"</f>
        <v>C:\TOC3201\CalCurves\Itamar\N_cal_25ppm_acid_laurel.2019_08_15_12_20_41.cal</v>
      </c>
      <c r="G89">
        <v>1</v>
      </c>
      <c r="H89" t="str">
        <f>""</f>
        <v/>
      </c>
      <c r="I89" t="str">
        <f>"8/15/2019 3:55:05 PM"</f>
        <v>8/15/2019 3:55:05 PM</v>
      </c>
      <c r="J89" t="str">
        <f>"1"</f>
        <v>1</v>
      </c>
      <c r="K89" t="str">
        <f>"3"</f>
        <v>3</v>
      </c>
      <c r="L89" t="str">
        <f>"TN"</f>
        <v>TN</v>
      </c>
      <c r="M89" t="str">
        <f>"29.56"</f>
        <v>29.56</v>
      </c>
      <c r="N89" t="str">
        <f>"7.693"</f>
        <v>7.693</v>
      </c>
      <c r="O89" t="str">
        <f>"NPOC:24.79mg/L TN:7.635mg/L"</f>
        <v>NPOC:24.79mg/L TN:7.635mg/L</v>
      </c>
      <c r="P89">
        <v>0</v>
      </c>
      <c r="Q89" t="str">
        <f>"80"</f>
        <v>80</v>
      </c>
    </row>
    <row r="90" spans="1:17" x14ac:dyDescent="0.2">
      <c r="A90" t="str">
        <f>"Unknown"</f>
        <v>Unknown</v>
      </c>
      <c r="B90" t="str">
        <f>"NPOC/TN"</f>
        <v>NPOC/TN</v>
      </c>
      <c r="C90" t="str">
        <f>"1047"</f>
        <v>1047</v>
      </c>
      <c r="D90" t="str">
        <f>"2"</f>
        <v>2</v>
      </c>
      <c r="E90" t="str">
        <f>"C:\TOC3201\Methods\Itamar\acid_sample.met"</f>
        <v>C:\TOC3201\Methods\Itamar\acid_sample.met</v>
      </c>
      <c r="F90" t="str">
        <f>"C:\TOC3201\CalCurves\Itamar\N_cal_25ppm_acid_laurel.2019_08_15_12_20_41.cal"</f>
        <v>C:\TOC3201\CalCurves\Itamar\N_cal_25ppm_acid_laurel.2019_08_15_12_20_41.cal</v>
      </c>
      <c r="G90">
        <v>1</v>
      </c>
      <c r="H90" t="str">
        <f>""</f>
        <v/>
      </c>
      <c r="I90" t="str">
        <f>"8/15/2019 3:58:46 PM"</f>
        <v>8/15/2019 3:58:46 PM</v>
      </c>
      <c r="J90" t="str">
        <f>"1"</f>
        <v>1</v>
      </c>
      <c r="K90" t="str">
        <f>"4"</f>
        <v>4</v>
      </c>
      <c r="L90" t="str">
        <f>"TN"</f>
        <v>TN</v>
      </c>
      <c r="M90" t="str">
        <f>"29.33"</f>
        <v>29.33</v>
      </c>
      <c r="N90" t="str">
        <f>"7.634"</f>
        <v>7.634</v>
      </c>
      <c r="O90" t="str">
        <f>"NPOC:24.79mg/L TN:7.635mg/L"</f>
        <v>NPOC:24.79mg/L TN:7.635mg/L</v>
      </c>
      <c r="P90">
        <v>0</v>
      </c>
      <c r="Q90" t="str">
        <f>"80"</f>
        <v>80</v>
      </c>
    </row>
    <row r="91" spans="1:17" x14ac:dyDescent="0.2">
      <c r="A91" t="str">
        <f>"Unknown"</f>
        <v>Unknown</v>
      </c>
      <c r="B91" t="str">
        <f>"NPOC/TN"</f>
        <v>NPOC/TN</v>
      </c>
      <c r="C91" t="str">
        <f>"1049"</f>
        <v>1049</v>
      </c>
      <c r="D91" t="str">
        <f>"3"</f>
        <v>3</v>
      </c>
      <c r="E91" t="str">
        <f>"C:\TOC3201\Methods\Itamar\acid_sample.met"</f>
        <v>C:\TOC3201\Methods\Itamar\acid_sample.met</v>
      </c>
      <c r="F91" t="str">
        <f>"C:\TOC3201\CalCurves\Itamar\C_cal_100ppm_acid_laurel.2019_08_15_10_24_40.cal"</f>
        <v>C:\TOC3201\CalCurves\Itamar\C_cal_100ppm_acid_laurel.2019_08_15_10_24_40.cal</v>
      </c>
      <c r="G91">
        <v>1</v>
      </c>
      <c r="H91" t="str">
        <f>""</f>
        <v/>
      </c>
      <c r="I91" t="str">
        <f>"8/15/2019 4:08:57 PM"</f>
        <v>8/15/2019 4:08:57 PM</v>
      </c>
      <c r="J91" t="str">
        <f>"1"</f>
        <v>1</v>
      </c>
      <c r="K91" t="str">
        <f>"1"</f>
        <v>1</v>
      </c>
      <c r="L91" t="str">
        <f>"NPOC"</f>
        <v>NPOC</v>
      </c>
      <c r="M91" t="str">
        <f>"124.1"</f>
        <v>124.1</v>
      </c>
      <c r="N91" t="str">
        <f>"25.54"</f>
        <v>25.54</v>
      </c>
      <c r="O91" t="str">
        <f>"NPOC:25.54mg/L TN:8.138mg/L"</f>
        <v>NPOC:25.54mg/L TN:8.138mg/L</v>
      </c>
      <c r="P91">
        <v>0</v>
      </c>
      <c r="Q91" t="str">
        <f>"80"</f>
        <v>80</v>
      </c>
    </row>
    <row r="92" spans="1:17" x14ac:dyDescent="0.2">
      <c r="A92" t="str">
        <f>"Unknown"</f>
        <v>Unknown</v>
      </c>
      <c r="B92" t="str">
        <f>"NPOC/TN"</f>
        <v>NPOC/TN</v>
      </c>
      <c r="C92" t="str">
        <f>"1049"</f>
        <v>1049</v>
      </c>
      <c r="D92" t="str">
        <f>"3"</f>
        <v>3</v>
      </c>
      <c r="E92" t="str">
        <f>"C:\TOC3201\Methods\Itamar\acid_sample.met"</f>
        <v>C:\TOC3201\Methods\Itamar\acid_sample.met</v>
      </c>
      <c r="F92" t="str">
        <f>"C:\TOC3201\CalCurves\Itamar\C_cal_100ppm_acid_laurel.2019_08_15_10_24_40.cal"</f>
        <v>C:\TOC3201\CalCurves\Itamar\C_cal_100ppm_acid_laurel.2019_08_15_10_24_40.cal</v>
      </c>
      <c r="G92">
        <v>1</v>
      </c>
      <c r="H92" t="str">
        <f>""</f>
        <v/>
      </c>
      <c r="I92" t="str">
        <f>"8/15/2019 4:12:46 PM"</f>
        <v>8/15/2019 4:12:46 PM</v>
      </c>
      <c r="J92" t="str">
        <f>"1"</f>
        <v>1</v>
      </c>
      <c r="K92" t="str">
        <f>"2"</f>
        <v>2</v>
      </c>
      <c r="L92" t="str">
        <f>"NPOC"</f>
        <v>NPOC</v>
      </c>
      <c r="M92" t="str">
        <f>"121.9"</f>
        <v>121.9</v>
      </c>
      <c r="N92" t="str">
        <f>"25.09"</f>
        <v>25.09</v>
      </c>
      <c r="O92" t="str">
        <f>"NPOC:25.54mg/L TN:8.138mg/L"</f>
        <v>NPOC:25.54mg/L TN:8.138mg/L</v>
      </c>
      <c r="P92">
        <v>0</v>
      </c>
      <c r="Q92" t="str">
        <f>"80"</f>
        <v>80</v>
      </c>
    </row>
    <row r="93" spans="1:17" x14ac:dyDescent="0.2">
      <c r="A93" t="str">
        <f>"Unknown"</f>
        <v>Unknown</v>
      </c>
      <c r="B93" t="str">
        <f>"NPOC/TN"</f>
        <v>NPOC/TN</v>
      </c>
      <c r="C93" t="str">
        <f>"1049"</f>
        <v>1049</v>
      </c>
      <c r="D93" t="str">
        <f>"3"</f>
        <v>3</v>
      </c>
      <c r="E93" t="str">
        <f>"C:\TOC3201\Methods\Itamar\acid_sample.met"</f>
        <v>C:\TOC3201\Methods\Itamar\acid_sample.met</v>
      </c>
      <c r="F93" t="str">
        <f>"C:\TOC3201\CalCurves\Itamar\C_cal_100ppm_acid_laurel.2019_08_15_10_24_40.cal"</f>
        <v>C:\TOC3201\CalCurves\Itamar\C_cal_100ppm_acid_laurel.2019_08_15_10_24_40.cal</v>
      </c>
      <c r="G93">
        <v>1</v>
      </c>
      <c r="H93" t="str">
        <f>""</f>
        <v/>
      </c>
      <c r="I93" t="str">
        <f>"8/15/2019 4:16:32 PM"</f>
        <v>8/15/2019 4:16:32 PM</v>
      </c>
      <c r="J93" t="str">
        <f>"1"</f>
        <v>1</v>
      </c>
      <c r="K93" t="str">
        <f>"3"</f>
        <v>3</v>
      </c>
      <c r="L93" t="str">
        <f>"NPOC"</f>
        <v>NPOC</v>
      </c>
      <c r="M93" t="str">
        <f>"126.2"</f>
        <v>126.2</v>
      </c>
      <c r="N93" t="str">
        <f>"25.98"</f>
        <v>25.98</v>
      </c>
      <c r="O93" t="str">
        <f>"NPOC:25.54mg/L TN:8.138mg/L"</f>
        <v>NPOC:25.54mg/L TN:8.138mg/L</v>
      </c>
      <c r="P93">
        <v>0</v>
      </c>
      <c r="Q93" t="str">
        <f>"80"</f>
        <v>80</v>
      </c>
    </row>
    <row r="94" spans="1:17" x14ac:dyDescent="0.2">
      <c r="A94" t="str">
        <f>"Unknown"</f>
        <v>Unknown</v>
      </c>
      <c r="B94" t="str">
        <f>"NPOC/TN"</f>
        <v>NPOC/TN</v>
      </c>
      <c r="C94" t="str">
        <f>"1049"</f>
        <v>1049</v>
      </c>
      <c r="D94" t="str">
        <f>"3"</f>
        <v>3</v>
      </c>
      <c r="E94" t="str">
        <f>"C:\TOC3201\Methods\Itamar\acid_sample.met"</f>
        <v>C:\TOC3201\Methods\Itamar\acid_sample.met</v>
      </c>
      <c r="F94" t="str">
        <f>"C:\TOC3201\CalCurves\Itamar\N_cal_25ppm_acid_laurel.2019_08_15_12_20_41.cal"</f>
        <v>C:\TOC3201\CalCurves\Itamar\N_cal_25ppm_acid_laurel.2019_08_15_12_20_41.cal</v>
      </c>
      <c r="G94">
        <v>1</v>
      </c>
      <c r="H94" t="str">
        <f>""</f>
        <v/>
      </c>
      <c r="I94" t="str">
        <f>"8/15/2019 4:08:57 PM"</f>
        <v>8/15/2019 4:08:57 PM</v>
      </c>
      <c r="J94" t="str">
        <f>"1"</f>
        <v>1</v>
      </c>
      <c r="K94" t="str">
        <f>"1"</f>
        <v>1</v>
      </c>
      <c r="L94" t="str">
        <f>"TN"</f>
        <v>TN</v>
      </c>
      <c r="M94" t="str">
        <f>"31.24"</f>
        <v>31.24</v>
      </c>
      <c r="N94" t="str">
        <f>"8.121"</f>
        <v>8.121</v>
      </c>
      <c r="O94" t="str">
        <f>"NPOC:25.54mg/L TN:8.138mg/L"</f>
        <v>NPOC:25.54mg/L TN:8.138mg/L</v>
      </c>
      <c r="P94">
        <v>0</v>
      </c>
      <c r="Q94" t="str">
        <f>"80"</f>
        <v>80</v>
      </c>
    </row>
    <row r="95" spans="1:17" x14ac:dyDescent="0.2">
      <c r="A95" t="str">
        <f>"Unknown"</f>
        <v>Unknown</v>
      </c>
      <c r="B95" t="str">
        <f>"NPOC/TN"</f>
        <v>NPOC/TN</v>
      </c>
      <c r="C95" t="str">
        <f>"1049"</f>
        <v>1049</v>
      </c>
      <c r="D95" t="str">
        <f>"3"</f>
        <v>3</v>
      </c>
      <c r="E95" t="str">
        <f>"C:\TOC3201\Methods\Itamar\acid_sample.met"</f>
        <v>C:\TOC3201\Methods\Itamar\acid_sample.met</v>
      </c>
      <c r="F95" t="str">
        <f>"C:\TOC3201\CalCurves\Itamar\N_cal_25ppm_acid_laurel.2019_08_15_12_20_41.cal"</f>
        <v>C:\TOC3201\CalCurves\Itamar\N_cal_25ppm_acid_laurel.2019_08_15_12_20_41.cal</v>
      </c>
      <c r="G95">
        <v>1</v>
      </c>
      <c r="H95" t="str">
        <f>""</f>
        <v/>
      </c>
      <c r="I95" t="str">
        <f>"8/15/2019 4:12:47 PM"</f>
        <v>8/15/2019 4:12:47 PM</v>
      </c>
      <c r="J95" t="str">
        <f>"1"</f>
        <v>1</v>
      </c>
      <c r="K95" t="str">
        <f>"2"</f>
        <v>2</v>
      </c>
      <c r="L95" t="str">
        <f>"TN"</f>
        <v>TN</v>
      </c>
      <c r="M95" t="str">
        <f>"28.69"</f>
        <v>28.69</v>
      </c>
      <c r="N95" t="str">
        <f>"7.471"</f>
        <v>7.471</v>
      </c>
      <c r="O95" t="str">
        <f>"NPOC:25.54mg/L TN:8.138mg/L"</f>
        <v>NPOC:25.54mg/L TN:8.138mg/L</v>
      </c>
      <c r="P95">
        <v>1</v>
      </c>
      <c r="Q95" t="str">
        <f>"80"</f>
        <v>80</v>
      </c>
    </row>
    <row r="96" spans="1:17" x14ac:dyDescent="0.2">
      <c r="A96" t="str">
        <f>"Unknown"</f>
        <v>Unknown</v>
      </c>
      <c r="B96" t="str">
        <f>"NPOC/TN"</f>
        <v>NPOC/TN</v>
      </c>
      <c r="C96" t="str">
        <f>"1049"</f>
        <v>1049</v>
      </c>
      <c r="D96" t="str">
        <f>"3"</f>
        <v>3</v>
      </c>
      <c r="E96" t="str">
        <f>"C:\TOC3201\Methods\Itamar\acid_sample.met"</f>
        <v>C:\TOC3201\Methods\Itamar\acid_sample.met</v>
      </c>
      <c r="F96" t="str">
        <f>"C:\TOC3201\CalCurves\Itamar\N_cal_25ppm_acid_laurel.2019_08_15_12_20_41.cal"</f>
        <v>C:\TOC3201\CalCurves\Itamar\N_cal_25ppm_acid_laurel.2019_08_15_12_20_41.cal</v>
      </c>
      <c r="G96">
        <v>1</v>
      </c>
      <c r="H96" t="str">
        <f>""</f>
        <v/>
      </c>
      <c r="I96" t="str">
        <f>"8/15/2019 4:16:32 PM"</f>
        <v>8/15/2019 4:16:32 PM</v>
      </c>
      <c r="J96" t="str">
        <f>"1"</f>
        <v>1</v>
      </c>
      <c r="K96" t="str">
        <f>"3"</f>
        <v>3</v>
      </c>
      <c r="L96" t="str">
        <f>"TN"</f>
        <v>TN</v>
      </c>
      <c r="M96" t="str">
        <f>"31.74"</f>
        <v>31.74</v>
      </c>
      <c r="N96" t="str">
        <f>"8.248"</f>
        <v>8.248</v>
      </c>
      <c r="O96" t="str">
        <f>"NPOC:25.54mg/L TN:8.138mg/L"</f>
        <v>NPOC:25.54mg/L TN:8.138mg/L</v>
      </c>
      <c r="P96">
        <v>0</v>
      </c>
      <c r="Q96" t="str">
        <f>"80"</f>
        <v>80</v>
      </c>
    </row>
    <row r="97" spans="1:17" x14ac:dyDescent="0.2">
      <c r="A97" t="str">
        <f>"Unknown"</f>
        <v>Unknown</v>
      </c>
      <c r="B97" t="str">
        <f>"NPOC/TN"</f>
        <v>NPOC/TN</v>
      </c>
      <c r="C97" t="str">
        <f>"1049"</f>
        <v>1049</v>
      </c>
      <c r="D97" t="str">
        <f>"3"</f>
        <v>3</v>
      </c>
      <c r="E97" t="str">
        <f>"C:\TOC3201\Methods\Itamar\acid_sample.met"</f>
        <v>C:\TOC3201\Methods\Itamar\acid_sample.met</v>
      </c>
      <c r="F97" t="str">
        <f>"C:\TOC3201\CalCurves\Itamar\N_cal_25ppm_acid_laurel.2019_08_15_12_20_41.cal"</f>
        <v>C:\TOC3201\CalCurves\Itamar\N_cal_25ppm_acid_laurel.2019_08_15_12_20_41.cal</v>
      </c>
      <c r="G97">
        <v>1</v>
      </c>
      <c r="H97" t="str">
        <f>""</f>
        <v/>
      </c>
      <c r="I97" t="str">
        <f>"8/15/2019 4:19:58 PM"</f>
        <v>8/15/2019 4:19:58 PM</v>
      </c>
      <c r="J97" t="str">
        <f>"1"</f>
        <v>1</v>
      </c>
      <c r="K97" t="str">
        <f>"4"</f>
        <v>4</v>
      </c>
      <c r="L97" t="str">
        <f>"TN"</f>
        <v>TN</v>
      </c>
      <c r="M97" t="str">
        <f>"30.94"</f>
        <v>30.94</v>
      </c>
      <c r="N97" t="str">
        <f>"8.044"</f>
        <v>8.044</v>
      </c>
      <c r="O97" t="str">
        <f>"NPOC:25.54mg/L TN:8.138mg/L"</f>
        <v>NPOC:25.54mg/L TN:8.138mg/L</v>
      </c>
      <c r="P97">
        <v>0</v>
      </c>
      <c r="Q97" t="str">
        <f>"80"</f>
        <v>80</v>
      </c>
    </row>
    <row r="98" spans="1:17" x14ac:dyDescent="0.2">
      <c r="A98" t="str">
        <f>"Unknown"</f>
        <v>Unknown</v>
      </c>
      <c r="B98" t="str">
        <f>"NPOC/TN"</f>
        <v>NPOC/TN</v>
      </c>
      <c r="C98" t="str">
        <f>"1051"</f>
        <v>1051</v>
      </c>
      <c r="D98" t="str">
        <f>"4"</f>
        <v>4</v>
      </c>
      <c r="E98" t="str">
        <f>"C:\TOC3201\Methods\Itamar\acid_sample.met"</f>
        <v>C:\TOC3201\Methods\Itamar\acid_sample.met</v>
      </c>
      <c r="F98" t="str">
        <f>"C:\TOC3201\CalCurves\Itamar\C_cal_100ppm_acid_laurel.2019_08_15_10_24_40.cal"</f>
        <v>C:\TOC3201\CalCurves\Itamar\C_cal_100ppm_acid_laurel.2019_08_15_10_24_40.cal</v>
      </c>
      <c r="G98">
        <v>1</v>
      </c>
      <c r="H98" t="str">
        <f>""</f>
        <v/>
      </c>
      <c r="I98" t="str">
        <f>"8/15/2019 4:29:45 PM"</f>
        <v>8/15/2019 4:29:45 PM</v>
      </c>
      <c r="J98" t="str">
        <f>"1"</f>
        <v>1</v>
      </c>
      <c r="K98" t="str">
        <f>"1"</f>
        <v>1</v>
      </c>
      <c r="L98" t="str">
        <f>"NPOC"</f>
        <v>NPOC</v>
      </c>
      <c r="M98" t="str">
        <f>"36.84"</f>
        <v>36.84</v>
      </c>
      <c r="N98" t="str">
        <f>"7.625"</f>
        <v>7.625</v>
      </c>
      <c r="O98" t="str">
        <f>"NPOC:7.705mg/L TN:1.375mg/L"</f>
        <v>NPOC:7.705mg/L TN:1.375mg/L</v>
      </c>
      <c r="P98">
        <v>0</v>
      </c>
      <c r="Q98" t="str">
        <f>"80"</f>
        <v>80</v>
      </c>
    </row>
    <row r="99" spans="1:17" x14ac:dyDescent="0.2">
      <c r="A99" t="str">
        <f>"Unknown"</f>
        <v>Unknown</v>
      </c>
      <c r="B99" t="str">
        <f>"NPOC/TN"</f>
        <v>NPOC/TN</v>
      </c>
      <c r="C99" t="str">
        <f>"1051"</f>
        <v>1051</v>
      </c>
      <c r="D99" t="str">
        <f>"4"</f>
        <v>4</v>
      </c>
      <c r="E99" t="str">
        <f>"C:\TOC3201\Methods\Itamar\acid_sample.met"</f>
        <v>C:\TOC3201\Methods\Itamar\acid_sample.met</v>
      </c>
      <c r="F99" t="str">
        <f>"C:\TOC3201\CalCurves\Itamar\C_cal_100ppm_acid_laurel.2019_08_15_10_24_40.cal"</f>
        <v>C:\TOC3201\CalCurves\Itamar\C_cal_100ppm_acid_laurel.2019_08_15_10_24_40.cal</v>
      </c>
      <c r="G99">
        <v>1</v>
      </c>
      <c r="H99" t="str">
        <f>""</f>
        <v/>
      </c>
      <c r="I99" t="str">
        <f>"8/15/2019 4:33:06 PM"</f>
        <v>8/15/2019 4:33:06 PM</v>
      </c>
      <c r="J99" t="str">
        <f>"1"</f>
        <v>1</v>
      </c>
      <c r="K99" t="str">
        <f>"2"</f>
        <v>2</v>
      </c>
      <c r="L99" t="str">
        <f>"NPOC"</f>
        <v>NPOC</v>
      </c>
      <c r="M99" t="str">
        <f>"36.82"</f>
        <v>36.82</v>
      </c>
      <c r="N99" t="str">
        <f>"7.621"</f>
        <v>7.621</v>
      </c>
      <c r="O99" t="str">
        <f>"NPOC:7.705mg/L TN:1.375mg/L"</f>
        <v>NPOC:7.705mg/L TN:1.375mg/L</v>
      </c>
      <c r="P99">
        <v>0</v>
      </c>
      <c r="Q99" t="str">
        <f>"80"</f>
        <v>80</v>
      </c>
    </row>
    <row r="100" spans="1:17" x14ac:dyDescent="0.2">
      <c r="A100" t="str">
        <f>"Unknown"</f>
        <v>Unknown</v>
      </c>
      <c r="B100" t="str">
        <f>"NPOC/TN"</f>
        <v>NPOC/TN</v>
      </c>
      <c r="C100" t="str">
        <f>"1051"</f>
        <v>1051</v>
      </c>
      <c r="D100" t="str">
        <f>"4"</f>
        <v>4</v>
      </c>
      <c r="E100" t="str">
        <f>"C:\TOC3201\Methods\Itamar\acid_sample.met"</f>
        <v>C:\TOC3201\Methods\Itamar\acid_sample.met</v>
      </c>
      <c r="F100" t="str">
        <f>"C:\TOC3201\CalCurves\Itamar\C_cal_100ppm_acid_laurel.2019_08_15_10_24_40.cal"</f>
        <v>C:\TOC3201\CalCurves\Itamar\C_cal_100ppm_acid_laurel.2019_08_15_10_24_40.cal</v>
      </c>
      <c r="G100">
        <v>1</v>
      </c>
      <c r="H100" t="str">
        <f>""</f>
        <v/>
      </c>
      <c r="I100" t="str">
        <f>"8/15/2019 4:36:16 PM"</f>
        <v>8/15/2019 4:36:16 PM</v>
      </c>
      <c r="J100" t="str">
        <f>"1"</f>
        <v>1</v>
      </c>
      <c r="K100" t="str">
        <f>"3"</f>
        <v>3</v>
      </c>
      <c r="L100" t="str">
        <f>"NPOC"</f>
        <v>NPOC</v>
      </c>
      <c r="M100" t="str">
        <f>"38.03"</f>
        <v>38.03</v>
      </c>
      <c r="N100" t="str">
        <f>"7.870"</f>
        <v>7.870</v>
      </c>
      <c r="O100" t="str">
        <f>"NPOC:7.705mg/L TN:1.375mg/L"</f>
        <v>NPOC:7.705mg/L TN:1.375mg/L</v>
      </c>
      <c r="P100">
        <v>0</v>
      </c>
      <c r="Q100" t="str">
        <f>"80"</f>
        <v>80</v>
      </c>
    </row>
    <row r="101" spans="1:17" x14ac:dyDescent="0.2">
      <c r="A101" t="str">
        <f>"Unknown"</f>
        <v>Unknown</v>
      </c>
      <c r="B101" t="str">
        <f>"NPOC/TN"</f>
        <v>NPOC/TN</v>
      </c>
      <c r="C101" t="str">
        <f>"1051"</f>
        <v>1051</v>
      </c>
      <c r="D101" t="str">
        <f>"4"</f>
        <v>4</v>
      </c>
      <c r="E101" t="str">
        <f>"C:\TOC3201\Methods\Itamar\acid_sample.met"</f>
        <v>C:\TOC3201\Methods\Itamar\acid_sample.met</v>
      </c>
      <c r="F101" t="str">
        <f>"C:\TOC3201\CalCurves\Itamar\N_cal_25ppm_acid_laurel.2019_08_15_12_20_41.cal"</f>
        <v>C:\TOC3201\CalCurves\Itamar\N_cal_25ppm_acid_laurel.2019_08_15_12_20_41.cal</v>
      </c>
      <c r="G101">
        <v>1</v>
      </c>
      <c r="H101" t="str">
        <f>""</f>
        <v/>
      </c>
      <c r="I101" t="str">
        <f>"8/15/2019 4:29:45 PM"</f>
        <v>8/15/2019 4:29:45 PM</v>
      </c>
      <c r="J101" t="str">
        <f>"1"</f>
        <v>1</v>
      </c>
      <c r="K101" t="str">
        <f>"1"</f>
        <v>1</v>
      </c>
      <c r="L101" t="str">
        <f>"TN"</f>
        <v>TN</v>
      </c>
      <c r="M101" t="str">
        <f>"4.504"</f>
        <v>4.504</v>
      </c>
      <c r="N101" t="str">
        <f>"1.309"</f>
        <v>1.309</v>
      </c>
      <c r="O101" t="str">
        <f>"NPOC:7.705mg/L TN:1.375mg/L"</f>
        <v>NPOC:7.705mg/L TN:1.375mg/L</v>
      </c>
      <c r="P101">
        <v>0</v>
      </c>
      <c r="Q101" t="str">
        <f>"80"</f>
        <v>80</v>
      </c>
    </row>
    <row r="102" spans="1:17" x14ac:dyDescent="0.2">
      <c r="A102" t="str">
        <f>"Unknown"</f>
        <v>Unknown</v>
      </c>
      <c r="B102" t="str">
        <f>"NPOC/TN"</f>
        <v>NPOC/TN</v>
      </c>
      <c r="C102" t="str">
        <f>"1051"</f>
        <v>1051</v>
      </c>
      <c r="D102" t="str">
        <f>"4"</f>
        <v>4</v>
      </c>
      <c r="E102" t="str">
        <f>"C:\TOC3201\Methods\Itamar\acid_sample.met"</f>
        <v>C:\TOC3201\Methods\Itamar\acid_sample.met</v>
      </c>
      <c r="F102" t="str">
        <f>"C:\TOC3201\CalCurves\Itamar\N_cal_25ppm_acid_laurel.2019_08_15_12_20_41.cal"</f>
        <v>C:\TOC3201\CalCurves\Itamar\N_cal_25ppm_acid_laurel.2019_08_15_12_20_41.cal</v>
      </c>
      <c r="G102">
        <v>1</v>
      </c>
      <c r="H102" t="str">
        <f>""</f>
        <v/>
      </c>
      <c r="I102" t="str">
        <f>"8/15/2019 4:33:06 PM"</f>
        <v>8/15/2019 4:33:06 PM</v>
      </c>
      <c r="J102" t="str">
        <f>"1"</f>
        <v>1</v>
      </c>
      <c r="K102" t="str">
        <f>"2"</f>
        <v>2</v>
      </c>
      <c r="L102" t="str">
        <f>"TN"</f>
        <v>TN</v>
      </c>
      <c r="M102" t="str">
        <f>"4.012"</f>
        <v>4.012</v>
      </c>
      <c r="N102" t="str">
        <f>"1.183"</f>
        <v>1.183</v>
      </c>
      <c r="O102" t="str">
        <f>"NPOC:7.705mg/L TN:1.375mg/L"</f>
        <v>NPOC:7.705mg/L TN:1.375mg/L</v>
      </c>
      <c r="P102">
        <v>1</v>
      </c>
      <c r="Q102" t="str">
        <f>"80"</f>
        <v>80</v>
      </c>
    </row>
    <row r="103" spans="1:17" x14ac:dyDescent="0.2">
      <c r="A103" t="str">
        <f>"Unknown"</f>
        <v>Unknown</v>
      </c>
      <c r="B103" t="str">
        <f>"NPOC/TN"</f>
        <v>NPOC/TN</v>
      </c>
      <c r="C103" t="str">
        <f>"1051"</f>
        <v>1051</v>
      </c>
      <c r="D103" t="str">
        <f>"4"</f>
        <v>4</v>
      </c>
      <c r="E103" t="str">
        <f>"C:\TOC3201\Methods\Itamar\acid_sample.met"</f>
        <v>C:\TOC3201\Methods\Itamar\acid_sample.met</v>
      </c>
      <c r="F103" t="str">
        <f>"C:\TOC3201\CalCurves\Itamar\N_cal_25ppm_acid_laurel.2019_08_15_12_20_41.cal"</f>
        <v>C:\TOC3201\CalCurves\Itamar\N_cal_25ppm_acid_laurel.2019_08_15_12_20_41.cal</v>
      </c>
      <c r="G103">
        <v>1</v>
      </c>
      <c r="H103" t="str">
        <f>""</f>
        <v/>
      </c>
      <c r="I103" t="str">
        <f>"8/15/2019 4:36:16 PM"</f>
        <v>8/15/2019 4:36:16 PM</v>
      </c>
      <c r="J103" t="str">
        <f>"1"</f>
        <v>1</v>
      </c>
      <c r="K103" t="str">
        <f>"3"</f>
        <v>3</v>
      </c>
      <c r="L103" t="str">
        <f>"TN"</f>
        <v>TN</v>
      </c>
      <c r="M103" t="str">
        <f>"4.826"</f>
        <v>4.826</v>
      </c>
      <c r="N103" t="str">
        <f>"1.391"</f>
        <v>1.391</v>
      </c>
      <c r="O103" t="str">
        <f>"NPOC:7.705mg/L TN:1.375mg/L"</f>
        <v>NPOC:7.705mg/L TN:1.375mg/L</v>
      </c>
      <c r="P103">
        <v>0</v>
      </c>
      <c r="Q103" t="str">
        <f>"80"</f>
        <v>80</v>
      </c>
    </row>
    <row r="104" spans="1:17" x14ac:dyDescent="0.2">
      <c r="A104" t="str">
        <f>"Unknown"</f>
        <v>Unknown</v>
      </c>
      <c r="B104" t="str">
        <f>"NPOC/TN"</f>
        <v>NPOC/TN</v>
      </c>
      <c r="C104" t="str">
        <f>"1051"</f>
        <v>1051</v>
      </c>
      <c r="D104" t="str">
        <f>"4"</f>
        <v>4</v>
      </c>
      <c r="E104" t="str">
        <f>"C:\TOC3201\Methods\Itamar\acid_sample.met"</f>
        <v>C:\TOC3201\Methods\Itamar\acid_sample.met</v>
      </c>
      <c r="F104" t="str">
        <f>"C:\TOC3201\CalCurves\Itamar\N_cal_25ppm_acid_laurel.2019_08_15_12_20_41.cal"</f>
        <v>C:\TOC3201\CalCurves\Itamar\N_cal_25ppm_acid_laurel.2019_08_15_12_20_41.cal</v>
      </c>
      <c r="G104">
        <v>1</v>
      </c>
      <c r="H104" t="str">
        <f>""</f>
        <v/>
      </c>
      <c r="I104" t="str">
        <f>"8/15/2019 4:41:15 PM"</f>
        <v>8/15/2019 4:41:15 PM</v>
      </c>
      <c r="J104" t="str">
        <f>"1"</f>
        <v>1</v>
      </c>
      <c r="K104" t="str">
        <f>"4"</f>
        <v>4</v>
      </c>
      <c r="L104" t="str">
        <f>"TN"</f>
        <v>TN</v>
      </c>
      <c r="M104" t="str">
        <f>"11.07"</f>
        <v>11.07</v>
      </c>
      <c r="N104" t="str">
        <f>"2.982"</f>
        <v>2.982</v>
      </c>
      <c r="O104" t="str">
        <f>"NPOC:7.705mg/L TN:1.375mg/L"</f>
        <v>NPOC:7.705mg/L TN:1.375mg/L</v>
      </c>
      <c r="P104">
        <v>1</v>
      </c>
      <c r="Q104" t="str">
        <f>"80"</f>
        <v>80</v>
      </c>
    </row>
    <row r="105" spans="1:17" x14ac:dyDescent="0.2">
      <c r="A105" t="str">
        <f>"Unknown"</f>
        <v>Unknown</v>
      </c>
      <c r="B105" t="str">
        <f>"NPOC/TN"</f>
        <v>NPOC/TN</v>
      </c>
      <c r="C105" t="str">
        <f>"1051"</f>
        <v>1051</v>
      </c>
      <c r="D105" t="str">
        <f>"4"</f>
        <v>4</v>
      </c>
      <c r="E105" t="str">
        <f>"C:\TOC3201\Methods\Itamar\acid_sample.met"</f>
        <v>C:\TOC3201\Methods\Itamar\acid_sample.met</v>
      </c>
      <c r="F105" t="str">
        <f>"C:\TOC3201\CalCurves\Itamar\N_cal_25ppm_acid_laurel.2019_08_15_12_20_41.cal"</f>
        <v>C:\TOC3201\CalCurves\Itamar\N_cal_25ppm_acid_laurel.2019_08_15_12_20_41.cal</v>
      </c>
      <c r="G105">
        <v>1</v>
      </c>
      <c r="H105" t="str">
        <f>""</f>
        <v/>
      </c>
      <c r="I105" t="str">
        <f>"8/15/2019 4:44:12 PM"</f>
        <v>8/15/2019 4:44:12 PM</v>
      </c>
      <c r="J105" t="str">
        <f>"1"</f>
        <v>1</v>
      </c>
      <c r="K105" t="str">
        <f>"5"</f>
        <v>5</v>
      </c>
      <c r="L105" t="str">
        <f>"TN"</f>
        <v>TN</v>
      </c>
      <c r="M105" t="str">
        <f>"4.959"</f>
        <v>4.959</v>
      </c>
      <c r="N105" t="str">
        <f>"1.424"</f>
        <v>1.424</v>
      </c>
      <c r="O105" t="str">
        <f>"NPOC:7.705mg/L TN:1.375mg/L"</f>
        <v>NPOC:7.705mg/L TN:1.375mg/L</v>
      </c>
      <c r="P105">
        <v>0</v>
      </c>
      <c r="Q105" t="str">
        <f>"80"</f>
        <v>80</v>
      </c>
    </row>
    <row r="106" spans="1:17" x14ac:dyDescent="0.2">
      <c r="A106" t="str">
        <f>"Unknown"</f>
        <v>Unknown</v>
      </c>
      <c r="B106" t="str">
        <f>"NPOC/TN"</f>
        <v>NPOC/TN</v>
      </c>
      <c r="C106" t="str">
        <f>"1053"</f>
        <v>1053</v>
      </c>
      <c r="D106" t="str">
        <f>"5"</f>
        <v>5</v>
      </c>
      <c r="E106" t="str">
        <f>"C:\TOC3201\Methods\Itamar\acid_sample.met"</f>
        <v>C:\TOC3201\Methods\Itamar\acid_sample.met</v>
      </c>
      <c r="F106" t="str">
        <f>"C:\TOC3201\CalCurves\Itamar\C_cal_100ppm_acid_laurel.2019_08_15_10_24_40.cal"</f>
        <v>C:\TOC3201\CalCurves\Itamar\C_cal_100ppm_acid_laurel.2019_08_15_10_24_40.cal</v>
      </c>
      <c r="G106">
        <v>1</v>
      </c>
      <c r="H106" t="str">
        <f>""</f>
        <v/>
      </c>
      <c r="I106" t="str">
        <f>"8/15/2019 4:53:57 PM"</f>
        <v>8/15/2019 4:53:57 PM</v>
      </c>
      <c r="J106" t="str">
        <f>"1"</f>
        <v>1</v>
      </c>
      <c r="K106" t="str">
        <f>"1"</f>
        <v>1</v>
      </c>
      <c r="L106" t="str">
        <f>"NPOC"</f>
        <v>NPOC</v>
      </c>
      <c r="M106" t="str">
        <f>"38.74"</f>
        <v>38.74</v>
      </c>
      <c r="N106" t="str">
        <f>"8.015"</f>
        <v>8.015</v>
      </c>
      <c r="O106" t="str">
        <f>"NPOC:8.047mg/L TN:1.396mg/L"</f>
        <v>NPOC:8.047mg/L TN:1.396mg/L</v>
      </c>
      <c r="P106">
        <v>0</v>
      </c>
      <c r="Q106" t="str">
        <f>"80"</f>
        <v>80</v>
      </c>
    </row>
    <row r="107" spans="1:17" x14ac:dyDescent="0.2">
      <c r="A107" t="str">
        <f>"Unknown"</f>
        <v>Unknown</v>
      </c>
      <c r="B107" t="str">
        <f>"NPOC/TN"</f>
        <v>NPOC/TN</v>
      </c>
      <c r="C107" t="str">
        <f>"1053"</f>
        <v>1053</v>
      </c>
      <c r="D107" t="str">
        <f>"5"</f>
        <v>5</v>
      </c>
      <c r="E107" t="str">
        <f>"C:\TOC3201\Methods\Itamar\acid_sample.met"</f>
        <v>C:\TOC3201\Methods\Itamar\acid_sample.met</v>
      </c>
      <c r="F107" t="str">
        <f>"C:\TOC3201\CalCurves\Itamar\C_cal_100ppm_acid_laurel.2019_08_15_10_24_40.cal"</f>
        <v>C:\TOC3201\CalCurves\Itamar\C_cal_100ppm_acid_laurel.2019_08_15_10_24_40.cal</v>
      </c>
      <c r="G107">
        <v>1</v>
      </c>
      <c r="H107" t="str">
        <f>""</f>
        <v/>
      </c>
      <c r="I107" t="str">
        <f>"8/15/2019 4:57:41 PM"</f>
        <v>8/15/2019 4:57:41 PM</v>
      </c>
      <c r="J107" t="str">
        <f>"1"</f>
        <v>1</v>
      </c>
      <c r="K107" t="str">
        <f>"2"</f>
        <v>2</v>
      </c>
      <c r="L107" t="str">
        <f>"NPOC"</f>
        <v>NPOC</v>
      </c>
      <c r="M107" t="str">
        <f>"38.58"</f>
        <v>38.58</v>
      </c>
      <c r="N107" t="str">
        <f>"7.982"</f>
        <v>7.982</v>
      </c>
      <c r="O107" t="str">
        <f>"NPOC:8.047mg/L TN:1.396mg/L"</f>
        <v>NPOC:8.047mg/L TN:1.396mg/L</v>
      </c>
      <c r="P107">
        <v>0</v>
      </c>
      <c r="Q107" t="str">
        <f>"80"</f>
        <v>80</v>
      </c>
    </row>
    <row r="108" spans="1:17" x14ac:dyDescent="0.2">
      <c r="A108" t="str">
        <f>"Unknown"</f>
        <v>Unknown</v>
      </c>
      <c r="B108" t="str">
        <f>"NPOC/TN"</f>
        <v>NPOC/TN</v>
      </c>
      <c r="C108" t="str">
        <f>"1053"</f>
        <v>1053</v>
      </c>
      <c r="D108" t="str">
        <f>"5"</f>
        <v>5</v>
      </c>
      <c r="E108" t="str">
        <f>"C:\TOC3201\Methods\Itamar\acid_sample.met"</f>
        <v>C:\TOC3201\Methods\Itamar\acid_sample.met</v>
      </c>
      <c r="F108" t="str">
        <f>"C:\TOC3201\CalCurves\Itamar\C_cal_100ppm_acid_laurel.2019_08_15_10_24_40.cal"</f>
        <v>C:\TOC3201\CalCurves\Itamar\C_cal_100ppm_acid_laurel.2019_08_15_10_24_40.cal</v>
      </c>
      <c r="G108">
        <v>1</v>
      </c>
      <c r="H108" t="str">
        <f>""</f>
        <v/>
      </c>
      <c r="I108" t="str">
        <f>"8/15/2019 5:01:03 PM"</f>
        <v>8/15/2019 5:01:03 PM</v>
      </c>
      <c r="J108" t="str">
        <f>"1"</f>
        <v>1</v>
      </c>
      <c r="K108" t="str">
        <f>"3"</f>
        <v>3</v>
      </c>
      <c r="L108" t="str">
        <f>"NPOC"</f>
        <v>NPOC</v>
      </c>
      <c r="M108" t="str">
        <f>"40.34"</f>
        <v>40.34</v>
      </c>
      <c r="N108" t="str">
        <f>"8.344"</f>
        <v>8.344</v>
      </c>
      <c r="O108" t="str">
        <f>"NPOC:8.047mg/L TN:1.396mg/L"</f>
        <v>NPOC:8.047mg/L TN:1.396mg/L</v>
      </c>
      <c r="P108">
        <v>1</v>
      </c>
      <c r="Q108" t="str">
        <f>"80"</f>
        <v>80</v>
      </c>
    </row>
    <row r="109" spans="1:17" x14ac:dyDescent="0.2">
      <c r="A109" t="str">
        <f>"Unknown"</f>
        <v>Unknown</v>
      </c>
      <c r="B109" t="str">
        <f>"NPOC/TN"</f>
        <v>NPOC/TN</v>
      </c>
      <c r="C109" t="str">
        <f>"1053"</f>
        <v>1053</v>
      </c>
      <c r="D109" t="str">
        <f>"5"</f>
        <v>5</v>
      </c>
      <c r="E109" t="str">
        <f>"C:\TOC3201\Methods\Itamar\acid_sample.met"</f>
        <v>C:\TOC3201\Methods\Itamar\acid_sample.met</v>
      </c>
      <c r="F109" t="str">
        <f>"C:\TOC3201\CalCurves\Itamar\C_cal_100ppm_acid_laurel.2019_08_15_10_24_40.cal"</f>
        <v>C:\TOC3201\CalCurves\Itamar\C_cal_100ppm_acid_laurel.2019_08_15_10_24_40.cal</v>
      </c>
      <c r="G109">
        <v>1</v>
      </c>
      <c r="H109" t="str">
        <f>""</f>
        <v/>
      </c>
      <c r="I109" t="str">
        <f>"8/15/2019 5:04:16 PM"</f>
        <v>8/15/2019 5:04:16 PM</v>
      </c>
      <c r="J109" t="str">
        <f>"1"</f>
        <v>1</v>
      </c>
      <c r="K109" t="str">
        <f>"4"</f>
        <v>4</v>
      </c>
      <c r="L109" t="str">
        <f>"NPOC"</f>
        <v>NPOC</v>
      </c>
      <c r="M109" t="str">
        <f>"39.36"</f>
        <v>39.36</v>
      </c>
      <c r="N109" t="str">
        <f>"8.143"</f>
        <v>8.143</v>
      </c>
      <c r="O109" t="str">
        <f>"NPOC:8.047mg/L TN:1.396mg/L"</f>
        <v>NPOC:8.047mg/L TN:1.396mg/L</v>
      </c>
      <c r="P109">
        <v>0</v>
      </c>
      <c r="Q109" t="str">
        <f>"80"</f>
        <v>80</v>
      </c>
    </row>
    <row r="110" spans="1:17" x14ac:dyDescent="0.2">
      <c r="A110" t="str">
        <f>"Unknown"</f>
        <v>Unknown</v>
      </c>
      <c r="B110" t="str">
        <f>"NPOC/TN"</f>
        <v>NPOC/TN</v>
      </c>
      <c r="C110" t="str">
        <f>"1053"</f>
        <v>1053</v>
      </c>
      <c r="D110" t="str">
        <f>"5"</f>
        <v>5</v>
      </c>
      <c r="E110" t="str">
        <f>"C:\TOC3201\Methods\Itamar\acid_sample.met"</f>
        <v>C:\TOC3201\Methods\Itamar\acid_sample.met</v>
      </c>
      <c r="F110" t="str">
        <f>"C:\TOC3201\CalCurves\Itamar\N_cal_25ppm_acid_laurel.2019_08_15_12_20_41.cal"</f>
        <v>C:\TOC3201\CalCurves\Itamar\N_cal_25ppm_acid_laurel.2019_08_15_12_20_41.cal</v>
      </c>
      <c r="G110">
        <v>1</v>
      </c>
      <c r="H110" t="str">
        <f>""</f>
        <v/>
      </c>
      <c r="I110" t="str">
        <f>"8/15/2019 4:53:57 PM"</f>
        <v>8/15/2019 4:53:57 PM</v>
      </c>
      <c r="J110" t="str">
        <f>"1"</f>
        <v>1</v>
      </c>
      <c r="K110" t="str">
        <f>"1"</f>
        <v>1</v>
      </c>
      <c r="L110" t="str">
        <f>"TN"</f>
        <v>TN</v>
      </c>
      <c r="M110" t="str">
        <f>"4.622"</f>
        <v>4.622</v>
      </c>
      <c r="N110" t="str">
        <f>"1.339"</f>
        <v>1.339</v>
      </c>
      <c r="O110" t="str">
        <f>"NPOC:8.047mg/L TN:1.396mg/L"</f>
        <v>NPOC:8.047mg/L TN:1.396mg/L</v>
      </c>
      <c r="P110">
        <v>0</v>
      </c>
      <c r="Q110" t="str">
        <f>"80"</f>
        <v>80</v>
      </c>
    </row>
    <row r="111" spans="1:17" x14ac:dyDescent="0.2">
      <c r="A111" t="str">
        <f>"Unknown"</f>
        <v>Unknown</v>
      </c>
      <c r="B111" t="str">
        <f>"NPOC/TN"</f>
        <v>NPOC/TN</v>
      </c>
      <c r="C111" t="str">
        <f>"1053"</f>
        <v>1053</v>
      </c>
      <c r="D111" t="str">
        <f>"5"</f>
        <v>5</v>
      </c>
      <c r="E111" t="str">
        <f>"C:\TOC3201\Methods\Itamar\acid_sample.met"</f>
        <v>C:\TOC3201\Methods\Itamar\acid_sample.met</v>
      </c>
      <c r="F111" t="str">
        <f>"C:\TOC3201\CalCurves\Itamar\N_cal_25ppm_acid_laurel.2019_08_15_12_20_41.cal"</f>
        <v>C:\TOC3201\CalCurves\Itamar\N_cal_25ppm_acid_laurel.2019_08_15_12_20_41.cal</v>
      </c>
      <c r="G111">
        <v>1</v>
      </c>
      <c r="H111" t="str">
        <f>""</f>
        <v/>
      </c>
      <c r="I111" t="str">
        <f>"8/15/2019 4:57:41 PM"</f>
        <v>8/15/2019 4:57:41 PM</v>
      </c>
      <c r="J111" t="str">
        <f>"1"</f>
        <v>1</v>
      </c>
      <c r="K111" t="str">
        <f>"2"</f>
        <v>2</v>
      </c>
      <c r="L111" t="str">
        <f>"TN"</f>
        <v>TN</v>
      </c>
      <c r="M111" t="str">
        <f>"5.553"</f>
        <v>5.553</v>
      </c>
      <c r="N111" t="str">
        <f>"1.576"</f>
        <v>1.576</v>
      </c>
      <c r="O111" t="str">
        <f>"NPOC:8.047mg/L TN:1.396mg/L"</f>
        <v>NPOC:8.047mg/L TN:1.396mg/L</v>
      </c>
      <c r="P111">
        <v>1</v>
      </c>
      <c r="Q111" t="str">
        <f>"80"</f>
        <v>80</v>
      </c>
    </row>
    <row r="112" spans="1:17" x14ac:dyDescent="0.2">
      <c r="A112" t="str">
        <f>"Unknown"</f>
        <v>Unknown</v>
      </c>
      <c r="B112" t="str">
        <f>"NPOC/TN"</f>
        <v>NPOC/TN</v>
      </c>
      <c r="C112" t="str">
        <f>"1053"</f>
        <v>1053</v>
      </c>
      <c r="D112" t="str">
        <f>"5"</f>
        <v>5</v>
      </c>
      <c r="E112" t="str">
        <f>"C:\TOC3201\Methods\Itamar\acid_sample.met"</f>
        <v>C:\TOC3201\Methods\Itamar\acid_sample.met</v>
      </c>
      <c r="F112" t="str">
        <f>"C:\TOC3201\CalCurves\Itamar\N_cal_25ppm_acid_laurel.2019_08_15_12_20_41.cal"</f>
        <v>C:\TOC3201\CalCurves\Itamar\N_cal_25ppm_acid_laurel.2019_08_15_12_20_41.cal</v>
      </c>
      <c r="G112">
        <v>1</v>
      </c>
      <c r="H112" t="str">
        <f>""</f>
        <v/>
      </c>
      <c r="I112" t="str">
        <f>"8/15/2019 5:01:03 PM"</f>
        <v>8/15/2019 5:01:03 PM</v>
      </c>
      <c r="J112" t="str">
        <f>"1"</f>
        <v>1</v>
      </c>
      <c r="K112" t="str">
        <f>"3"</f>
        <v>3</v>
      </c>
      <c r="L112" t="str">
        <f>"TN"</f>
        <v>TN</v>
      </c>
      <c r="M112" t="str">
        <f>"4.754"</f>
        <v>4.754</v>
      </c>
      <c r="N112" t="str">
        <f>"1.372"</f>
        <v>1.372</v>
      </c>
      <c r="O112" t="str">
        <f>"NPOC:8.047mg/L TN:1.396mg/L"</f>
        <v>NPOC:8.047mg/L TN:1.396mg/L</v>
      </c>
      <c r="P112">
        <v>0</v>
      </c>
      <c r="Q112" t="str">
        <f>"80"</f>
        <v>80</v>
      </c>
    </row>
    <row r="113" spans="1:17" x14ac:dyDescent="0.2">
      <c r="A113" t="str">
        <f>"Unknown"</f>
        <v>Unknown</v>
      </c>
      <c r="B113" t="str">
        <f>"NPOC/TN"</f>
        <v>NPOC/TN</v>
      </c>
      <c r="C113" t="str">
        <f>"1053"</f>
        <v>1053</v>
      </c>
      <c r="D113" t="str">
        <f>"5"</f>
        <v>5</v>
      </c>
      <c r="E113" t="str">
        <f>"C:\TOC3201\Methods\Itamar\acid_sample.met"</f>
        <v>C:\TOC3201\Methods\Itamar\acid_sample.met</v>
      </c>
      <c r="F113" t="str">
        <f>"C:\TOC3201\CalCurves\Itamar\N_cal_25ppm_acid_laurel.2019_08_15_12_20_41.cal"</f>
        <v>C:\TOC3201\CalCurves\Itamar\N_cal_25ppm_acid_laurel.2019_08_15_12_20_41.cal</v>
      </c>
      <c r="G113">
        <v>1</v>
      </c>
      <c r="H113" t="str">
        <f>""</f>
        <v/>
      </c>
      <c r="I113" t="str">
        <f>"8/15/2019 5:04:16 PM"</f>
        <v>8/15/2019 5:04:16 PM</v>
      </c>
      <c r="J113" t="str">
        <f>"1"</f>
        <v>1</v>
      </c>
      <c r="K113" t="str">
        <f>"4"</f>
        <v>4</v>
      </c>
      <c r="L113" t="str">
        <f>"TN"</f>
        <v>TN</v>
      </c>
      <c r="M113" t="str">
        <f>"6.067"</f>
        <v>6.067</v>
      </c>
      <c r="N113" t="str">
        <f>"1.707"</f>
        <v>1.707</v>
      </c>
      <c r="O113" t="str">
        <f>"NPOC:8.047mg/L TN:1.396mg/L"</f>
        <v>NPOC:8.047mg/L TN:1.396mg/L</v>
      </c>
      <c r="P113">
        <v>1</v>
      </c>
      <c r="Q113" t="str">
        <f>"80"</f>
        <v>80</v>
      </c>
    </row>
    <row r="114" spans="1:17" x14ac:dyDescent="0.2">
      <c r="A114" t="str">
        <f>"Unknown"</f>
        <v>Unknown</v>
      </c>
      <c r="B114" t="str">
        <f>"NPOC/TN"</f>
        <v>NPOC/TN</v>
      </c>
      <c r="C114" t="str">
        <f>"1053"</f>
        <v>1053</v>
      </c>
      <c r="D114" t="str">
        <f>"5"</f>
        <v>5</v>
      </c>
      <c r="E114" t="str">
        <f>"C:\TOC3201\Methods\Itamar\acid_sample.met"</f>
        <v>C:\TOC3201\Methods\Itamar\acid_sample.met</v>
      </c>
      <c r="F114" t="str">
        <f>"C:\TOC3201\CalCurves\Itamar\N_cal_25ppm_acid_laurel.2019_08_15_12_20_41.cal"</f>
        <v>C:\TOC3201\CalCurves\Itamar\N_cal_25ppm_acid_laurel.2019_08_15_12_20_41.cal</v>
      </c>
      <c r="G114">
        <v>1</v>
      </c>
      <c r="H114" t="str">
        <f>""</f>
        <v/>
      </c>
      <c r="I114" t="str">
        <f>"8/15/2019 5:07:24 PM"</f>
        <v>8/15/2019 5:07:24 PM</v>
      </c>
      <c r="J114" t="str">
        <f>"1"</f>
        <v>1</v>
      </c>
      <c r="K114" t="str">
        <f>"5"</f>
        <v>5</v>
      </c>
      <c r="L114" t="str">
        <f>"TN"</f>
        <v>TN</v>
      </c>
      <c r="M114" t="str">
        <f>"5.170"</f>
        <v>5.170</v>
      </c>
      <c r="N114" t="str">
        <f>"1.478"</f>
        <v>1.478</v>
      </c>
      <c r="O114" t="str">
        <f>"NPOC:8.047mg/L TN:1.396mg/L"</f>
        <v>NPOC:8.047mg/L TN:1.396mg/L</v>
      </c>
      <c r="P114">
        <v>0</v>
      </c>
      <c r="Q114" t="str">
        <f>"80"</f>
        <v>80</v>
      </c>
    </row>
    <row r="115" spans="1:17" x14ac:dyDescent="0.2">
      <c r="A115" t="str">
        <f>"Unknown"</f>
        <v>Unknown</v>
      </c>
      <c r="B115" t="str">
        <f>"NPOC/TN"</f>
        <v>NPOC/TN</v>
      </c>
      <c r="C115" t="str">
        <f>"1055"</f>
        <v>1055</v>
      </c>
      <c r="D115" t="str">
        <f>"6"</f>
        <v>6</v>
      </c>
      <c r="E115" t="str">
        <f>"C:\TOC3201\Methods\Itamar\acid_sample.met"</f>
        <v>C:\TOC3201\Methods\Itamar\acid_sample.met</v>
      </c>
      <c r="F115" t="str">
        <f>"C:\TOC3201\CalCurves\Itamar\C_cal_100ppm_acid_laurel.2019_08_15_10_24_40.cal"</f>
        <v>C:\TOC3201\CalCurves\Itamar\C_cal_100ppm_acid_laurel.2019_08_15_10_24_40.cal</v>
      </c>
      <c r="G115">
        <v>1</v>
      </c>
      <c r="H115" t="str">
        <f>""</f>
        <v/>
      </c>
      <c r="I115" t="str">
        <f>"8/15/2019 5:17:06 PM"</f>
        <v>8/15/2019 5:17:06 PM</v>
      </c>
      <c r="J115" t="str">
        <f>"1"</f>
        <v>1</v>
      </c>
      <c r="K115" t="str">
        <f>"1"</f>
        <v>1</v>
      </c>
      <c r="L115" t="str">
        <f>"NPOC"</f>
        <v>NPOC</v>
      </c>
      <c r="M115" t="str">
        <f>"38.41"</f>
        <v>38.41</v>
      </c>
      <c r="N115" t="str">
        <f>"7.948"</f>
        <v>7.948</v>
      </c>
      <c r="O115" t="str">
        <f>"NPOC:7.963mg/L TN:1.338mg/L"</f>
        <v>NPOC:7.963mg/L TN:1.338mg/L</v>
      </c>
      <c r="P115">
        <v>0</v>
      </c>
      <c r="Q115" t="str">
        <f>"80"</f>
        <v>80</v>
      </c>
    </row>
    <row r="116" spans="1:17" x14ac:dyDescent="0.2">
      <c r="A116" t="str">
        <f>"Unknown"</f>
        <v>Unknown</v>
      </c>
      <c r="B116" t="str">
        <f>"NPOC/TN"</f>
        <v>NPOC/TN</v>
      </c>
      <c r="C116" t="str">
        <f>"1055"</f>
        <v>1055</v>
      </c>
      <c r="D116" t="str">
        <f>"6"</f>
        <v>6</v>
      </c>
      <c r="E116" t="str">
        <f>"C:\TOC3201\Methods\Itamar\acid_sample.met"</f>
        <v>C:\TOC3201\Methods\Itamar\acid_sample.met</v>
      </c>
      <c r="F116" t="str">
        <f>"C:\TOC3201\CalCurves\Itamar\C_cal_100ppm_acid_laurel.2019_08_15_10_24_40.cal"</f>
        <v>C:\TOC3201\CalCurves\Itamar\C_cal_100ppm_acid_laurel.2019_08_15_10_24_40.cal</v>
      </c>
      <c r="G116">
        <v>1</v>
      </c>
      <c r="H116" t="str">
        <f>""</f>
        <v/>
      </c>
      <c r="I116" t="str">
        <f>"8/15/2019 5:20:28 PM"</f>
        <v>8/15/2019 5:20:28 PM</v>
      </c>
      <c r="J116" t="str">
        <f>"1"</f>
        <v>1</v>
      </c>
      <c r="K116" t="str">
        <f>"2"</f>
        <v>2</v>
      </c>
      <c r="L116" t="str">
        <f>"NPOC"</f>
        <v>NPOC</v>
      </c>
      <c r="M116" t="str">
        <f>"38.13"</f>
        <v>38.13</v>
      </c>
      <c r="N116" t="str">
        <f>"7.890"</f>
        <v>7.890</v>
      </c>
      <c r="O116" t="str">
        <f>"NPOC:7.963mg/L TN:1.338mg/L"</f>
        <v>NPOC:7.963mg/L TN:1.338mg/L</v>
      </c>
      <c r="P116">
        <v>0</v>
      </c>
      <c r="Q116" t="str">
        <f>"80"</f>
        <v>80</v>
      </c>
    </row>
    <row r="117" spans="1:17" x14ac:dyDescent="0.2">
      <c r="A117" t="str">
        <f>"Unknown"</f>
        <v>Unknown</v>
      </c>
      <c r="B117" t="str">
        <f>"NPOC/TN"</f>
        <v>NPOC/TN</v>
      </c>
      <c r="C117" t="str">
        <f>"1055"</f>
        <v>1055</v>
      </c>
      <c r="D117" t="str">
        <f>"6"</f>
        <v>6</v>
      </c>
      <c r="E117" t="str">
        <f>"C:\TOC3201\Methods\Itamar\acid_sample.met"</f>
        <v>C:\TOC3201\Methods\Itamar\acid_sample.met</v>
      </c>
      <c r="F117" t="str">
        <f>"C:\TOC3201\CalCurves\Itamar\C_cal_100ppm_acid_laurel.2019_08_15_10_24_40.cal"</f>
        <v>C:\TOC3201\CalCurves\Itamar\C_cal_100ppm_acid_laurel.2019_08_15_10_24_40.cal</v>
      </c>
      <c r="G117">
        <v>1</v>
      </c>
      <c r="H117" t="str">
        <f>""</f>
        <v/>
      </c>
      <c r="I117" t="str">
        <f>"8/15/2019 5:23:49 PM"</f>
        <v>8/15/2019 5:23:49 PM</v>
      </c>
      <c r="J117" t="str">
        <f>"1"</f>
        <v>1</v>
      </c>
      <c r="K117" t="str">
        <f>"3"</f>
        <v>3</v>
      </c>
      <c r="L117" t="str">
        <f>"NPOC"</f>
        <v>NPOC</v>
      </c>
      <c r="M117" t="str">
        <f>"39.85"</f>
        <v>39.85</v>
      </c>
      <c r="N117" t="str">
        <f>"8.243"</f>
        <v>8.243</v>
      </c>
      <c r="O117" t="str">
        <f>"NPOC:7.963mg/L TN:1.338mg/L"</f>
        <v>NPOC:7.963mg/L TN:1.338mg/L</v>
      </c>
      <c r="P117">
        <v>1</v>
      </c>
      <c r="Q117" t="str">
        <f>"80"</f>
        <v>80</v>
      </c>
    </row>
    <row r="118" spans="1:17" x14ac:dyDescent="0.2">
      <c r="A118" t="str">
        <f>"Unknown"</f>
        <v>Unknown</v>
      </c>
      <c r="B118" t="str">
        <f>"NPOC/TN"</f>
        <v>NPOC/TN</v>
      </c>
      <c r="C118" t="str">
        <f>"1055"</f>
        <v>1055</v>
      </c>
      <c r="D118" t="str">
        <f>"6"</f>
        <v>6</v>
      </c>
      <c r="E118" t="str">
        <f>"C:\TOC3201\Methods\Itamar\acid_sample.met"</f>
        <v>C:\TOC3201\Methods\Itamar\acid_sample.met</v>
      </c>
      <c r="F118" t="str">
        <f>"C:\TOC3201\CalCurves\Itamar\C_cal_100ppm_acid_laurel.2019_08_15_10_24_40.cal"</f>
        <v>C:\TOC3201\CalCurves\Itamar\C_cal_100ppm_acid_laurel.2019_08_15_10_24_40.cal</v>
      </c>
      <c r="G118">
        <v>1</v>
      </c>
      <c r="H118" t="str">
        <f>""</f>
        <v/>
      </c>
      <c r="I118" t="str">
        <f>"8/15/2019 5:27:05 PM"</f>
        <v>8/15/2019 5:27:05 PM</v>
      </c>
      <c r="J118" t="str">
        <f>"1"</f>
        <v>1</v>
      </c>
      <c r="K118" t="str">
        <f>"4"</f>
        <v>4</v>
      </c>
      <c r="L118" t="str">
        <f>"NPOC"</f>
        <v>NPOC</v>
      </c>
      <c r="M118" t="str">
        <f>"38.92"</f>
        <v>38.92</v>
      </c>
      <c r="N118" t="str">
        <f>"8.052"</f>
        <v>8.052</v>
      </c>
      <c r="O118" t="str">
        <f>"NPOC:7.963mg/L TN:1.338mg/L"</f>
        <v>NPOC:7.963mg/L TN:1.338mg/L</v>
      </c>
      <c r="P118">
        <v>0</v>
      </c>
      <c r="Q118" t="str">
        <f>"80"</f>
        <v>80</v>
      </c>
    </row>
    <row r="119" spans="1:17" x14ac:dyDescent="0.2">
      <c r="A119" t="str">
        <f>"Unknown"</f>
        <v>Unknown</v>
      </c>
      <c r="B119" t="str">
        <f>"NPOC/TN"</f>
        <v>NPOC/TN</v>
      </c>
      <c r="C119" t="str">
        <f>"1055"</f>
        <v>1055</v>
      </c>
      <c r="D119" t="str">
        <f>"6"</f>
        <v>6</v>
      </c>
      <c r="E119" t="str">
        <f>"C:\TOC3201\Methods\Itamar\acid_sample.met"</f>
        <v>C:\TOC3201\Methods\Itamar\acid_sample.met</v>
      </c>
      <c r="F119" t="str">
        <f>"C:\TOC3201\CalCurves\Itamar\N_cal_25ppm_acid_laurel.2019_08_15_12_20_41.cal"</f>
        <v>C:\TOC3201\CalCurves\Itamar\N_cal_25ppm_acid_laurel.2019_08_15_12_20_41.cal</v>
      </c>
      <c r="G119">
        <v>1</v>
      </c>
      <c r="H119" t="str">
        <f>""</f>
        <v/>
      </c>
      <c r="I119" t="str">
        <f>"8/15/2019 5:17:06 PM"</f>
        <v>8/15/2019 5:17:06 PM</v>
      </c>
      <c r="J119" t="str">
        <f>"1"</f>
        <v>1</v>
      </c>
      <c r="K119" t="str">
        <f>"1"</f>
        <v>1</v>
      </c>
      <c r="L119" t="str">
        <f>"TN"</f>
        <v>TN</v>
      </c>
      <c r="M119" t="str">
        <f>"4.658"</f>
        <v>4.658</v>
      </c>
      <c r="N119" t="str">
        <f>"1.348"</f>
        <v>1.348</v>
      </c>
      <c r="O119" t="str">
        <f>"NPOC:7.963mg/L TN:1.338mg/L"</f>
        <v>NPOC:7.963mg/L TN:1.338mg/L</v>
      </c>
      <c r="P119">
        <v>0</v>
      </c>
      <c r="Q119" t="str">
        <f>"80"</f>
        <v>80</v>
      </c>
    </row>
    <row r="120" spans="1:17" x14ac:dyDescent="0.2">
      <c r="A120" t="str">
        <f>"Unknown"</f>
        <v>Unknown</v>
      </c>
      <c r="B120" t="str">
        <f>"NPOC/TN"</f>
        <v>NPOC/TN</v>
      </c>
      <c r="C120" t="str">
        <f>"1055"</f>
        <v>1055</v>
      </c>
      <c r="D120" t="str">
        <f>"6"</f>
        <v>6</v>
      </c>
      <c r="E120" t="str">
        <f>"C:\TOC3201\Methods\Itamar\acid_sample.met"</f>
        <v>C:\TOC3201\Methods\Itamar\acid_sample.met</v>
      </c>
      <c r="F120" t="str">
        <f>"C:\TOC3201\CalCurves\Itamar\N_cal_25ppm_acid_laurel.2019_08_15_12_20_41.cal"</f>
        <v>C:\TOC3201\CalCurves\Itamar\N_cal_25ppm_acid_laurel.2019_08_15_12_20_41.cal</v>
      </c>
      <c r="G120">
        <v>1</v>
      </c>
      <c r="H120" t="str">
        <f>""</f>
        <v/>
      </c>
      <c r="I120" t="str">
        <f>"8/15/2019 5:20:28 PM"</f>
        <v>8/15/2019 5:20:28 PM</v>
      </c>
      <c r="J120" t="str">
        <f>"1"</f>
        <v>1</v>
      </c>
      <c r="K120" t="str">
        <f>"2"</f>
        <v>2</v>
      </c>
      <c r="L120" t="str">
        <f>"TN"</f>
        <v>TN</v>
      </c>
      <c r="M120" t="str">
        <f>"6.092"</f>
        <v>6.092</v>
      </c>
      <c r="N120" t="str">
        <f>"1.713"</f>
        <v>1.713</v>
      </c>
      <c r="O120" t="str">
        <f>"NPOC:7.963mg/L TN:1.338mg/L"</f>
        <v>NPOC:7.963mg/L TN:1.338mg/L</v>
      </c>
      <c r="P120">
        <v>1</v>
      </c>
      <c r="Q120" t="str">
        <f>"80"</f>
        <v>80</v>
      </c>
    </row>
    <row r="121" spans="1:17" x14ac:dyDescent="0.2">
      <c r="A121" t="str">
        <f>"Unknown"</f>
        <v>Unknown</v>
      </c>
      <c r="B121" t="str">
        <f>"NPOC/TN"</f>
        <v>NPOC/TN</v>
      </c>
      <c r="C121" t="str">
        <f>"1055"</f>
        <v>1055</v>
      </c>
      <c r="D121" t="str">
        <f>"6"</f>
        <v>6</v>
      </c>
      <c r="E121" t="str">
        <f>"C:\TOC3201\Methods\Itamar\acid_sample.met"</f>
        <v>C:\TOC3201\Methods\Itamar\acid_sample.met</v>
      </c>
      <c r="F121" t="str">
        <f>"C:\TOC3201\CalCurves\Itamar\N_cal_25ppm_acid_laurel.2019_08_15_12_20_41.cal"</f>
        <v>C:\TOC3201\CalCurves\Itamar\N_cal_25ppm_acid_laurel.2019_08_15_12_20_41.cal</v>
      </c>
      <c r="G121">
        <v>1</v>
      </c>
      <c r="H121" t="str">
        <f>""</f>
        <v/>
      </c>
      <c r="I121" t="str">
        <f>"8/15/2019 5:23:49 PM"</f>
        <v>8/15/2019 5:23:49 PM</v>
      </c>
      <c r="J121" t="str">
        <f>"1"</f>
        <v>1</v>
      </c>
      <c r="K121" t="str">
        <f>"3"</f>
        <v>3</v>
      </c>
      <c r="L121" t="str">
        <f>"TN"</f>
        <v>TN</v>
      </c>
      <c r="M121" t="str">
        <f>"4.863"</f>
        <v>4.863</v>
      </c>
      <c r="N121" t="str">
        <f>"1.400"</f>
        <v>1.400</v>
      </c>
      <c r="O121" t="str">
        <f>"NPOC:7.963mg/L TN:1.338mg/L"</f>
        <v>NPOC:7.963mg/L TN:1.338mg/L</v>
      </c>
      <c r="P121">
        <v>1</v>
      </c>
      <c r="Q121" t="str">
        <f>"80"</f>
        <v>80</v>
      </c>
    </row>
    <row r="122" spans="1:17" x14ac:dyDescent="0.2">
      <c r="A122" t="str">
        <f>"Unknown"</f>
        <v>Unknown</v>
      </c>
      <c r="B122" t="str">
        <f>"NPOC/TN"</f>
        <v>NPOC/TN</v>
      </c>
      <c r="C122" t="str">
        <f>"1055"</f>
        <v>1055</v>
      </c>
      <c r="D122" t="str">
        <f>"6"</f>
        <v>6</v>
      </c>
      <c r="E122" t="str">
        <f>"C:\TOC3201\Methods\Itamar\acid_sample.met"</f>
        <v>C:\TOC3201\Methods\Itamar\acid_sample.met</v>
      </c>
      <c r="F122" t="str">
        <f>"C:\TOC3201\CalCurves\Itamar\N_cal_25ppm_acid_laurel.2019_08_15_12_20_41.cal"</f>
        <v>C:\TOC3201\CalCurves\Itamar\N_cal_25ppm_acid_laurel.2019_08_15_12_20_41.cal</v>
      </c>
      <c r="G122">
        <v>1</v>
      </c>
      <c r="H122" t="str">
        <f>""</f>
        <v/>
      </c>
      <c r="I122" t="str">
        <f>"8/15/2019 5:27:05 PM"</f>
        <v>8/15/2019 5:27:05 PM</v>
      </c>
      <c r="J122" t="str">
        <f>"1"</f>
        <v>1</v>
      </c>
      <c r="K122" t="str">
        <f>"4"</f>
        <v>4</v>
      </c>
      <c r="L122" t="str">
        <f>"TN"</f>
        <v>TN</v>
      </c>
      <c r="M122" t="str">
        <f>"4.527"</f>
        <v>4.527</v>
      </c>
      <c r="N122" t="str">
        <f>"1.314"</f>
        <v>1.314</v>
      </c>
      <c r="O122" t="str">
        <f>"NPOC:7.963mg/L TN:1.338mg/L"</f>
        <v>NPOC:7.963mg/L TN:1.338mg/L</v>
      </c>
      <c r="P122">
        <v>0</v>
      </c>
      <c r="Q122" t="str">
        <f>"80"</f>
        <v>80</v>
      </c>
    </row>
    <row r="123" spans="1:17" x14ac:dyDescent="0.2">
      <c r="A123" t="str">
        <f>"Unknown"</f>
        <v>Unknown</v>
      </c>
      <c r="B123" t="str">
        <f>"NPOC/TN"</f>
        <v>NPOC/TN</v>
      </c>
      <c r="C123" t="str">
        <f>"1055"</f>
        <v>1055</v>
      </c>
      <c r="D123" t="str">
        <f>"6"</f>
        <v>6</v>
      </c>
      <c r="E123" t="str">
        <f>"C:\TOC3201\Methods\Itamar\acid_sample.met"</f>
        <v>C:\TOC3201\Methods\Itamar\acid_sample.met</v>
      </c>
      <c r="F123" t="str">
        <f>"C:\TOC3201\CalCurves\Itamar\N_cal_25ppm_acid_laurel.2019_08_15_12_20_41.cal"</f>
        <v>C:\TOC3201\CalCurves\Itamar\N_cal_25ppm_acid_laurel.2019_08_15_12_20_41.cal</v>
      </c>
      <c r="G123">
        <v>1</v>
      </c>
      <c r="H123" t="str">
        <f>""</f>
        <v/>
      </c>
      <c r="I123" t="str">
        <f>"8/15/2019 5:30:05 PM"</f>
        <v>8/15/2019 5:30:05 PM</v>
      </c>
      <c r="J123" t="str">
        <f>"1"</f>
        <v>1</v>
      </c>
      <c r="K123" t="str">
        <f>"5"</f>
        <v>5</v>
      </c>
      <c r="L123" t="str">
        <f>"TN"</f>
        <v>TN</v>
      </c>
      <c r="M123" t="str">
        <f>"4.677"</f>
        <v>4.677</v>
      </c>
      <c r="N123" t="str">
        <f>"1.353"</f>
        <v>1.353</v>
      </c>
      <c r="O123" t="str">
        <f>"NPOC:7.963mg/L TN:1.338mg/L"</f>
        <v>NPOC:7.963mg/L TN:1.338mg/L</v>
      </c>
      <c r="P123">
        <v>0</v>
      </c>
      <c r="Q123" t="str">
        <f>"80"</f>
        <v>80</v>
      </c>
    </row>
    <row r="124" spans="1:17" x14ac:dyDescent="0.2">
      <c r="A124" t="str">
        <f>"Unknown"</f>
        <v>Unknown</v>
      </c>
      <c r="B124" t="str">
        <f>"NPOC/TN"</f>
        <v>NPOC/TN</v>
      </c>
      <c r="C124" t="str">
        <f>"1057"</f>
        <v>1057</v>
      </c>
      <c r="D124" t="str">
        <f>"7"</f>
        <v>7</v>
      </c>
      <c r="E124" t="str">
        <f>"C:\TOC3201\Methods\Itamar\acid_sample.met"</f>
        <v>C:\TOC3201\Methods\Itamar\acid_sample.met</v>
      </c>
      <c r="F124" t="str">
        <f>"C:\TOC3201\CalCurves\Itamar\C_cal_100ppm_acid_laurel.2019_08_15_10_24_40.cal"</f>
        <v>C:\TOC3201\CalCurves\Itamar\C_cal_100ppm_acid_laurel.2019_08_15_10_24_40.cal</v>
      </c>
      <c r="G124">
        <v>1</v>
      </c>
      <c r="H124" t="str">
        <f>""</f>
        <v/>
      </c>
      <c r="I124" t="str">
        <f>"8/15/2019 5:40:07 PM"</f>
        <v>8/15/2019 5:40:07 PM</v>
      </c>
      <c r="J124" t="str">
        <f>"1"</f>
        <v>1</v>
      </c>
      <c r="K124" t="str">
        <f>"1"</f>
        <v>1</v>
      </c>
      <c r="L124" t="str">
        <f>"NPOC"</f>
        <v>NPOC</v>
      </c>
      <c r="M124" t="str">
        <f>"112.8"</f>
        <v>112.8</v>
      </c>
      <c r="N124" t="str">
        <f>"23.22"</f>
        <v>23.22</v>
      </c>
      <c r="O124" t="str">
        <f>"NPOC:23.18mg/L TN:1.556mg/L"</f>
        <v>NPOC:23.18mg/L TN:1.556mg/L</v>
      </c>
      <c r="P124">
        <v>0</v>
      </c>
      <c r="Q124" t="str">
        <f>"80"</f>
        <v>80</v>
      </c>
    </row>
    <row r="125" spans="1:17" x14ac:dyDescent="0.2">
      <c r="A125" t="str">
        <f>"Unknown"</f>
        <v>Unknown</v>
      </c>
      <c r="B125" t="str">
        <f>"NPOC/TN"</f>
        <v>NPOC/TN</v>
      </c>
      <c r="C125" t="str">
        <f>"1057"</f>
        <v>1057</v>
      </c>
      <c r="D125" t="str">
        <f>"7"</f>
        <v>7</v>
      </c>
      <c r="E125" t="str">
        <f>"C:\TOC3201\Methods\Itamar\acid_sample.met"</f>
        <v>C:\TOC3201\Methods\Itamar\acid_sample.met</v>
      </c>
      <c r="F125" t="str">
        <f>"C:\TOC3201\CalCurves\Itamar\C_cal_100ppm_acid_laurel.2019_08_15_10_24_40.cal"</f>
        <v>C:\TOC3201\CalCurves\Itamar\C_cal_100ppm_acid_laurel.2019_08_15_10_24_40.cal</v>
      </c>
      <c r="G125">
        <v>1</v>
      </c>
      <c r="H125" t="str">
        <f>""</f>
        <v/>
      </c>
      <c r="I125" t="str">
        <f>"8/15/2019 5:43:47 PM"</f>
        <v>8/15/2019 5:43:47 PM</v>
      </c>
      <c r="J125" t="str">
        <f>"1"</f>
        <v>1</v>
      </c>
      <c r="K125" t="str">
        <f>"2"</f>
        <v>2</v>
      </c>
      <c r="L125" t="str">
        <f>"NPOC"</f>
        <v>NPOC</v>
      </c>
      <c r="M125" t="str">
        <f>"111.2"</f>
        <v>111.2</v>
      </c>
      <c r="N125" t="str">
        <f>"22.89"</f>
        <v>22.89</v>
      </c>
      <c r="O125" t="str">
        <f>"NPOC:23.18mg/L TN:1.556mg/L"</f>
        <v>NPOC:23.18mg/L TN:1.556mg/L</v>
      </c>
      <c r="P125">
        <v>0</v>
      </c>
      <c r="Q125" t="str">
        <f>"80"</f>
        <v>80</v>
      </c>
    </row>
    <row r="126" spans="1:17" x14ac:dyDescent="0.2">
      <c r="A126" t="str">
        <f>"Unknown"</f>
        <v>Unknown</v>
      </c>
      <c r="B126" t="str">
        <f>"NPOC/TN"</f>
        <v>NPOC/TN</v>
      </c>
      <c r="C126" t="str">
        <f>"1057"</f>
        <v>1057</v>
      </c>
      <c r="D126" t="str">
        <f>"7"</f>
        <v>7</v>
      </c>
      <c r="E126" t="str">
        <f>"C:\TOC3201\Methods\Itamar\acid_sample.met"</f>
        <v>C:\TOC3201\Methods\Itamar\acid_sample.met</v>
      </c>
      <c r="F126" t="str">
        <f>"C:\TOC3201\CalCurves\Itamar\C_cal_100ppm_acid_laurel.2019_08_15_10_24_40.cal"</f>
        <v>C:\TOC3201\CalCurves\Itamar\C_cal_100ppm_acid_laurel.2019_08_15_10_24_40.cal</v>
      </c>
      <c r="G126">
        <v>1</v>
      </c>
      <c r="H126" t="str">
        <f>""</f>
        <v/>
      </c>
      <c r="I126" t="str">
        <f>"8/15/2019 5:47:30 PM"</f>
        <v>8/15/2019 5:47:30 PM</v>
      </c>
      <c r="J126" t="str">
        <f>"1"</f>
        <v>1</v>
      </c>
      <c r="K126" t="str">
        <f>"3"</f>
        <v>3</v>
      </c>
      <c r="L126" t="str">
        <f>"NPOC"</f>
        <v>NPOC</v>
      </c>
      <c r="M126" t="str">
        <f>"117.0"</f>
        <v>117.0</v>
      </c>
      <c r="N126" t="str">
        <f>"24.09"</f>
        <v>24.09</v>
      </c>
      <c r="O126" t="str">
        <f>"NPOC:23.18mg/L TN:1.556mg/L"</f>
        <v>NPOC:23.18mg/L TN:1.556mg/L</v>
      </c>
      <c r="P126">
        <v>1</v>
      </c>
      <c r="Q126" t="str">
        <f>"80"</f>
        <v>80</v>
      </c>
    </row>
    <row r="127" spans="1:17" x14ac:dyDescent="0.2">
      <c r="A127" t="str">
        <f>"Unknown"</f>
        <v>Unknown</v>
      </c>
      <c r="B127" t="str">
        <f>"NPOC/TN"</f>
        <v>NPOC/TN</v>
      </c>
      <c r="C127" t="str">
        <f>"1057"</f>
        <v>1057</v>
      </c>
      <c r="D127" t="str">
        <f>"7"</f>
        <v>7</v>
      </c>
      <c r="E127" t="str">
        <f>"C:\TOC3201\Methods\Itamar\acid_sample.met"</f>
        <v>C:\TOC3201\Methods\Itamar\acid_sample.met</v>
      </c>
      <c r="F127" t="str">
        <f>"C:\TOC3201\CalCurves\Itamar\C_cal_100ppm_acid_laurel.2019_08_15_10_24_40.cal"</f>
        <v>C:\TOC3201\CalCurves\Itamar\C_cal_100ppm_acid_laurel.2019_08_15_10_24_40.cal</v>
      </c>
      <c r="G127">
        <v>1</v>
      </c>
      <c r="H127" t="str">
        <f>""</f>
        <v/>
      </c>
      <c r="I127" t="str">
        <f>"8/15/2019 5:51:07 PM"</f>
        <v>8/15/2019 5:51:07 PM</v>
      </c>
      <c r="J127" t="str">
        <f>"1"</f>
        <v>1</v>
      </c>
      <c r="K127" t="str">
        <f>"4"</f>
        <v>4</v>
      </c>
      <c r="L127" t="str">
        <f>"NPOC"</f>
        <v>NPOC</v>
      </c>
      <c r="M127" t="str">
        <f>"113.7"</f>
        <v>113.7</v>
      </c>
      <c r="N127" t="str">
        <f>"23.41"</f>
        <v>23.41</v>
      </c>
      <c r="O127" t="str">
        <f>"NPOC:23.18mg/L TN:1.556mg/L"</f>
        <v>NPOC:23.18mg/L TN:1.556mg/L</v>
      </c>
      <c r="P127">
        <v>0</v>
      </c>
      <c r="Q127" t="str">
        <f>"80"</f>
        <v>80</v>
      </c>
    </row>
    <row r="128" spans="1:17" x14ac:dyDescent="0.2">
      <c r="A128" t="str">
        <f>"Unknown"</f>
        <v>Unknown</v>
      </c>
      <c r="B128" t="str">
        <f>"NPOC/TN"</f>
        <v>NPOC/TN</v>
      </c>
      <c r="C128" t="str">
        <f>"1057"</f>
        <v>1057</v>
      </c>
      <c r="D128" t="str">
        <f>"7"</f>
        <v>7</v>
      </c>
      <c r="E128" t="str">
        <f>"C:\TOC3201\Methods\Itamar\acid_sample.met"</f>
        <v>C:\TOC3201\Methods\Itamar\acid_sample.met</v>
      </c>
      <c r="F128" t="str">
        <f>"C:\TOC3201\CalCurves\Itamar\N_cal_25ppm_acid_laurel.2019_08_15_12_20_41.cal"</f>
        <v>C:\TOC3201\CalCurves\Itamar\N_cal_25ppm_acid_laurel.2019_08_15_12_20_41.cal</v>
      </c>
      <c r="G128">
        <v>1</v>
      </c>
      <c r="H128" t="str">
        <f>""</f>
        <v/>
      </c>
      <c r="I128" t="str">
        <f>"8/15/2019 5:40:07 PM"</f>
        <v>8/15/2019 5:40:07 PM</v>
      </c>
      <c r="J128" t="str">
        <f>"1"</f>
        <v>1</v>
      </c>
      <c r="K128" t="str">
        <f>"1"</f>
        <v>1</v>
      </c>
      <c r="L128" t="str">
        <f>"TN"</f>
        <v>TN</v>
      </c>
      <c r="M128" t="str">
        <f>"4.973"</f>
        <v>4.973</v>
      </c>
      <c r="N128" t="str">
        <f>"1.428"</f>
        <v>1.428</v>
      </c>
      <c r="O128" t="str">
        <f>"NPOC:23.18mg/L TN:1.556mg/L"</f>
        <v>NPOC:23.18mg/L TN:1.556mg/L</v>
      </c>
      <c r="P128">
        <v>1</v>
      </c>
      <c r="Q128" t="str">
        <f>"80"</f>
        <v>80</v>
      </c>
    </row>
    <row r="129" spans="1:17" x14ac:dyDescent="0.2">
      <c r="A129" t="str">
        <f>"Unknown"</f>
        <v>Unknown</v>
      </c>
      <c r="B129" t="str">
        <f>"NPOC/TN"</f>
        <v>NPOC/TN</v>
      </c>
      <c r="C129" t="str">
        <f>"1057"</f>
        <v>1057</v>
      </c>
      <c r="D129" t="str">
        <f>"7"</f>
        <v>7</v>
      </c>
      <c r="E129" t="str">
        <f>"C:\TOC3201\Methods\Itamar\acid_sample.met"</f>
        <v>C:\TOC3201\Methods\Itamar\acid_sample.met</v>
      </c>
      <c r="F129" t="str">
        <f>"C:\TOC3201\CalCurves\Itamar\N_cal_25ppm_acid_laurel.2019_08_15_12_20_41.cal"</f>
        <v>C:\TOC3201\CalCurves\Itamar\N_cal_25ppm_acid_laurel.2019_08_15_12_20_41.cal</v>
      </c>
      <c r="G129">
        <v>1</v>
      </c>
      <c r="H129" t="str">
        <f>""</f>
        <v/>
      </c>
      <c r="I129" t="str">
        <f>"8/15/2019 5:43:47 PM"</f>
        <v>8/15/2019 5:43:47 PM</v>
      </c>
      <c r="J129" t="str">
        <f>"1"</f>
        <v>1</v>
      </c>
      <c r="K129" t="str">
        <f>"2"</f>
        <v>2</v>
      </c>
      <c r="L129" t="str">
        <f>"TN"</f>
        <v>TN</v>
      </c>
      <c r="M129" t="str">
        <f>"5.397"</f>
        <v>5.397</v>
      </c>
      <c r="N129" t="str">
        <f>"1.536"</f>
        <v>1.536</v>
      </c>
      <c r="O129" t="str">
        <f>"NPOC:23.18mg/L TN:1.556mg/L"</f>
        <v>NPOC:23.18mg/L TN:1.556mg/L</v>
      </c>
      <c r="P129">
        <v>0</v>
      </c>
      <c r="Q129" t="str">
        <f>"80"</f>
        <v>80</v>
      </c>
    </row>
    <row r="130" spans="1:17" x14ac:dyDescent="0.2">
      <c r="A130" t="str">
        <f>"Unknown"</f>
        <v>Unknown</v>
      </c>
      <c r="B130" t="str">
        <f>"NPOC/TN"</f>
        <v>NPOC/TN</v>
      </c>
      <c r="C130" t="str">
        <f>"1057"</f>
        <v>1057</v>
      </c>
      <c r="D130" t="str">
        <f>"7"</f>
        <v>7</v>
      </c>
      <c r="E130" t="str">
        <f>"C:\TOC3201\Methods\Itamar\acid_sample.met"</f>
        <v>C:\TOC3201\Methods\Itamar\acid_sample.met</v>
      </c>
      <c r="F130" t="str">
        <f>"C:\TOC3201\CalCurves\Itamar\N_cal_25ppm_acid_laurel.2019_08_15_12_20_41.cal"</f>
        <v>C:\TOC3201\CalCurves\Itamar\N_cal_25ppm_acid_laurel.2019_08_15_12_20_41.cal</v>
      </c>
      <c r="G130">
        <v>1</v>
      </c>
      <c r="H130" t="str">
        <f>""</f>
        <v/>
      </c>
      <c r="I130" t="str">
        <f>"8/15/2019 5:47:30 PM"</f>
        <v>8/15/2019 5:47:30 PM</v>
      </c>
      <c r="J130" t="str">
        <f>"1"</f>
        <v>1</v>
      </c>
      <c r="K130" t="str">
        <f>"3"</f>
        <v>3</v>
      </c>
      <c r="L130" t="str">
        <f>"TN"</f>
        <v>TN</v>
      </c>
      <c r="M130" t="str">
        <f>"6.415"</f>
        <v>6.415</v>
      </c>
      <c r="N130" t="str">
        <f>"1.795"</f>
        <v>1.795</v>
      </c>
      <c r="O130" t="str">
        <f>"NPOC:23.18mg/L TN:1.556mg/L"</f>
        <v>NPOC:23.18mg/L TN:1.556mg/L</v>
      </c>
      <c r="P130">
        <v>1</v>
      </c>
      <c r="Q130" t="str">
        <f>"80"</f>
        <v>80</v>
      </c>
    </row>
    <row r="131" spans="1:17" x14ac:dyDescent="0.2">
      <c r="A131" t="str">
        <f>"Unknown"</f>
        <v>Unknown</v>
      </c>
      <c r="B131" t="str">
        <f>"NPOC/TN"</f>
        <v>NPOC/TN</v>
      </c>
      <c r="C131" t="str">
        <f>"1057"</f>
        <v>1057</v>
      </c>
      <c r="D131" t="str">
        <f>"7"</f>
        <v>7</v>
      </c>
      <c r="E131" t="str">
        <f>"C:\TOC3201\Methods\Itamar\acid_sample.met"</f>
        <v>C:\TOC3201\Methods\Itamar\acid_sample.met</v>
      </c>
      <c r="F131" t="str">
        <f>"C:\TOC3201\CalCurves\Itamar\N_cal_25ppm_acid_laurel.2019_08_15_12_20_41.cal"</f>
        <v>C:\TOC3201\CalCurves\Itamar\N_cal_25ppm_acid_laurel.2019_08_15_12_20_41.cal</v>
      </c>
      <c r="G131">
        <v>1</v>
      </c>
      <c r="H131" t="str">
        <f>""</f>
        <v/>
      </c>
      <c r="I131" t="str">
        <f>"8/15/2019 5:51:07 PM"</f>
        <v>8/15/2019 5:51:07 PM</v>
      </c>
      <c r="J131" t="str">
        <f>"1"</f>
        <v>1</v>
      </c>
      <c r="K131" t="str">
        <f>"4"</f>
        <v>4</v>
      </c>
      <c r="L131" t="str">
        <f>"TN"</f>
        <v>TN</v>
      </c>
      <c r="M131" t="str">
        <f>"5.426"</f>
        <v>5.426</v>
      </c>
      <c r="N131" t="str">
        <f>"1.543"</f>
        <v>1.543</v>
      </c>
      <c r="O131" t="str">
        <f>"NPOC:23.18mg/L TN:1.556mg/L"</f>
        <v>NPOC:23.18mg/L TN:1.556mg/L</v>
      </c>
      <c r="P131">
        <v>0</v>
      </c>
      <c r="Q131" t="str">
        <f>"80"</f>
        <v>80</v>
      </c>
    </row>
    <row r="132" spans="1:17" x14ac:dyDescent="0.2">
      <c r="A132" t="str">
        <f>"Unknown"</f>
        <v>Unknown</v>
      </c>
      <c r="B132" t="str">
        <f>"NPOC/TN"</f>
        <v>NPOC/TN</v>
      </c>
      <c r="C132" t="str">
        <f>"1057"</f>
        <v>1057</v>
      </c>
      <c r="D132" t="str">
        <f>"7"</f>
        <v>7</v>
      </c>
      <c r="E132" t="str">
        <f>"C:\TOC3201\Methods\Itamar\acid_sample.met"</f>
        <v>C:\TOC3201\Methods\Itamar\acid_sample.met</v>
      </c>
      <c r="F132" t="str">
        <f>"C:\TOC3201\CalCurves\Itamar\N_cal_25ppm_acid_laurel.2019_08_15_12_20_41.cal"</f>
        <v>C:\TOC3201\CalCurves\Itamar\N_cal_25ppm_acid_laurel.2019_08_15_12_20_41.cal</v>
      </c>
      <c r="G132">
        <v>1</v>
      </c>
      <c r="H132" t="str">
        <f>""</f>
        <v/>
      </c>
      <c r="I132" t="str">
        <f>"8/15/2019 5:54:11 PM"</f>
        <v>8/15/2019 5:54:11 PM</v>
      </c>
      <c r="J132" t="str">
        <f>"1"</f>
        <v>1</v>
      </c>
      <c r="K132" t="str">
        <f>"5"</f>
        <v>5</v>
      </c>
      <c r="L132" t="str">
        <f>"TN"</f>
        <v>TN</v>
      </c>
      <c r="M132" t="str">
        <f>"5.598"</f>
        <v>5.598</v>
      </c>
      <c r="N132" t="str">
        <f>"1.587"</f>
        <v>1.587</v>
      </c>
      <c r="O132" t="str">
        <f>"NPOC:23.18mg/L TN:1.556mg/L"</f>
        <v>NPOC:23.18mg/L TN:1.556mg/L</v>
      </c>
      <c r="P132">
        <v>0</v>
      </c>
      <c r="Q132" t="str">
        <f>"80"</f>
        <v>80</v>
      </c>
    </row>
    <row r="133" spans="1:17" x14ac:dyDescent="0.2">
      <c r="A133" t="str">
        <f>"Unknown"</f>
        <v>Unknown</v>
      </c>
      <c r="B133" t="str">
        <f>"NPOC/TN"</f>
        <v>NPOC/TN</v>
      </c>
      <c r="C133" t="str">
        <f>"1059"</f>
        <v>1059</v>
      </c>
      <c r="D133" t="str">
        <f>"8"</f>
        <v>8</v>
      </c>
      <c r="E133" t="str">
        <f>"C:\TOC3201\Methods\Itamar\acid_sample.met"</f>
        <v>C:\TOC3201\Methods\Itamar\acid_sample.met</v>
      </c>
      <c r="F133" t="str">
        <f>"C:\TOC3201\CalCurves\Itamar\C_cal_100ppm_acid_laurel.2019_08_15_10_24_40.cal"</f>
        <v>C:\TOC3201\CalCurves\Itamar\C_cal_100ppm_acid_laurel.2019_08_15_10_24_40.cal</v>
      </c>
      <c r="G133">
        <v>1</v>
      </c>
      <c r="H133" t="str">
        <f>""</f>
        <v/>
      </c>
      <c r="I133" t="str">
        <f>"8/15/2019 6:04:28 PM"</f>
        <v>8/15/2019 6:04:28 PM</v>
      </c>
      <c r="J133" t="str">
        <f>"1"</f>
        <v>1</v>
      </c>
      <c r="K133" t="str">
        <f>"1"</f>
        <v>1</v>
      </c>
      <c r="L133" t="str">
        <f>"NPOC"</f>
        <v>NPOC</v>
      </c>
      <c r="M133" t="str">
        <f>"114.1"</f>
        <v>114.1</v>
      </c>
      <c r="N133" t="str">
        <f>"23.49"</f>
        <v>23.49</v>
      </c>
      <c r="O133" t="str">
        <f>"NPOC:23.89mg/L TN:1.881mg/L"</f>
        <v>NPOC:23.89mg/L TN:1.881mg/L</v>
      </c>
      <c r="P133">
        <v>0</v>
      </c>
      <c r="Q133" t="str">
        <f>"80"</f>
        <v>80</v>
      </c>
    </row>
    <row r="134" spans="1:17" x14ac:dyDescent="0.2">
      <c r="A134" t="str">
        <f>"Unknown"</f>
        <v>Unknown</v>
      </c>
      <c r="B134" t="str">
        <f>"NPOC/TN"</f>
        <v>NPOC/TN</v>
      </c>
      <c r="C134" t="str">
        <f>"1059"</f>
        <v>1059</v>
      </c>
      <c r="D134" t="str">
        <f>"8"</f>
        <v>8</v>
      </c>
      <c r="E134" t="str">
        <f>"C:\TOC3201\Methods\Itamar\acid_sample.met"</f>
        <v>C:\TOC3201\Methods\Itamar\acid_sample.met</v>
      </c>
      <c r="F134" t="str">
        <f>"C:\TOC3201\CalCurves\Itamar\C_cal_100ppm_acid_laurel.2019_08_15_10_24_40.cal"</f>
        <v>C:\TOC3201\CalCurves\Itamar\C_cal_100ppm_acid_laurel.2019_08_15_10_24_40.cal</v>
      </c>
      <c r="G134">
        <v>1</v>
      </c>
      <c r="H134" t="str">
        <f>""</f>
        <v/>
      </c>
      <c r="I134" t="str">
        <f>"8/15/2019 6:08:00 PM"</f>
        <v>8/15/2019 6:08:00 PM</v>
      </c>
      <c r="J134" t="str">
        <f>"1"</f>
        <v>1</v>
      </c>
      <c r="K134" t="str">
        <f>"2"</f>
        <v>2</v>
      </c>
      <c r="L134" t="str">
        <f>"NPOC"</f>
        <v>NPOC</v>
      </c>
      <c r="M134" t="str">
        <f>"109.4"</f>
        <v>109.4</v>
      </c>
      <c r="N134" t="str">
        <f>"22.53"</f>
        <v>22.53</v>
      </c>
      <c r="O134" t="str">
        <f>"NPOC:23.89mg/L TN:1.881mg/L"</f>
        <v>NPOC:23.89mg/L TN:1.881mg/L</v>
      </c>
      <c r="P134">
        <v>1</v>
      </c>
      <c r="Q134" t="str">
        <f>"80"</f>
        <v>80</v>
      </c>
    </row>
    <row r="135" spans="1:17" x14ac:dyDescent="0.2">
      <c r="A135" t="str">
        <f>"Unknown"</f>
        <v>Unknown</v>
      </c>
      <c r="B135" t="str">
        <f>"NPOC/TN"</f>
        <v>NPOC/TN</v>
      </c>
      <c r="C135" t="str">
        <f>"1059"</f>
        <v>1059</v>
      </c>
      <c r="D135" t="str">
        <f>"8"</f>
        <v>8</v>
      </c>
      <c r="E135" t="str">
        <f>"C:\TOC3201\Methods\Itamar\acid_sample.met"</f>
        <v>C:\TOC3201\Methods\Itamar\acid_sample.met</v>
      </c>
      <c r="F135" t="str">
        <f>"C:\TOC3201\CalCurves\Itamar\C_cal_100ppm_acid_laurel.2019_08_15_10_24_40.cal"</f>
        <v>C:\TOC3201\CalCurves\Itamar\C_cal_100ppm_acid_laurel.2019_08_15_10_24_40.cal</v>
      </c>
      <c r="G135">
        <v>1</v>
      </c>
      <c r="H135" t="str">
        <f>""</f>
        <v/>
      </c>
      <c r="I135" t="str">
        <f>"8/15/2019 6:11:45 PM"</f>
        <v>8/15/2019 6:11:45 PM</v>
      </c>
      <c r="J135" t="str">
        <f>"1"</f>
        <v>1</v>
      </c>
      <c r="K135" t="str">
        <f>"3"</f>
        <v>3</v>
      </c>
      <c r="L135" t="str">
        <f>"NPOC"</f>
        <v>NPOC</v>
      </c>
      <c r="M135" t="str">
        <f>"115.3"</f>
        <v>115.3</v>
      </c>
      <c r="N135" t="str">
        <f>"23.74"</f>
        <v>23.74</v>
      </c>
      <c r="O135" t="str">
        <f>"NPOC:23.89mg/L TN:1.881mg/L"</f>
        <v>NPOC:23.89mg/L TN:1.881mg/L</v>
      </c>
      <c r="P135">
        <v>0</v>
      </c>
      <c r="Q135" t="str">
        <f>"80"</f>
        <v>80</v>
      </c>
    </row>
    <row r="136" spans="1:17" x14ac:dyDescent="0.2">
      <c r="A136" t="str">
        <f>"Unknown"</f>
        <v>Unknown</v>
      </c>
      <c r="B136" t="str">
        <f>"NPOC/TN"</f>
        <v>NPOC/TN</v>
      </c>
      <c r="C136" t="str">
        <f>"1059"</f>
        <v>1059</v>
      </c>
      <c r="D136" t="str">
        <f>"8"</f>
        <v>8</v>
      </c>
      <c r="E136" t="str">
        <f>"C:\TOC3201\Methods\Itamar\acid_sample.met"</f>
        <v>C:\TOC3201\Methods\Itamar\acid_sample.met</v>
      </c>
      <c r="F136" t="str">
        <f>"C:\TOC3201\CalCurves\Itamar\C_cal_100ppm_acid_laurel.2019_08_15_10_24_40.cal"</f>
        <v>C:\TOC3201\CalCurves\Itamar\C_cal_100ppm_acid_laurel.2019_08_15_10_24_40.cal</v>
      </c>
      <c r="G136">
        <v>1</v>
      </c>
      <c r="H136" t="str">
        <f>""</f>
        <v/>
      </c>
      <c r="I136" t="str">
        <f>"8/15/2019 6:15:24 PM"</f>
        <v>8/15/2019 6:15:24 PM</v>
      </c>
      <c r="J136" t="str">
        <f>"1"</f>
        <v>1</v>
      </c>
      <c r="K136" t="str">
        <f>"4"</f>
        <v>4</v>
      </c>
      <c r="L136" t="str">
        <f>"NPOC"</f>
        <v>NPOC</v>
      </c>
      <c r="M136" t="str">
        <f>"118.7"</f>
        <v>118.7</v>
      </c>
      <c r="N136" t="str">
        <f>"24.44"</f>
        <v>24.44</v>
      </c>
      <c r="O136" t="str">
        <f>"NPOC:23.89mg/L TN:1.881mg/L"</f>
        <v>NPOC:23.89mg/L TN:1.881mg/L</v>
      </c>
      <c r="P136">
        <v>0</v>
      </c>
      <c r="Q136" t="str">
        <f>"80"</f>
        <v>80</v>
      </c>
    </row>
    <row r="137" spans="1:17" x14ac:dyDescent="0.2">
      <c r="A137" t="str">
        <f>"Unknown"</f>
        <v>Unknown</v>
      </c>
      <c r="B137" t="str">
        <f>"NPOC/TN"</f>
        <v>NPOC/TN</v>
      </c>
      <c r="C137" t="str">
        <f>"1059"</f>
        <v>1059</v>
      </c>
      <c r="D137" t="str">
        <f>"8"</f>
        <v>8</v>
      </c>
      <c r="E137" t="str">
        <f>"C:\TOC3201\Methods\Itamar\acid_sample.met"</f>
        <v>C:\TOC3201\Methods\Itamar\acid_sample.met</v>
      </c>
      <c r="F137" t="str">
        <f>"C:\TOC3201\CalCurves\Itamar\C_cal_100ppm_acid_laurel.2019_08_15_10_24_40.cal"</f>
        <v>C:\TOC3201\CalCurves\Itamar\C_cal_100ppm_acid_laurel.2019_08_15_10_24_40.cal</v>
      </c>
      <c r="G137">
        <v>1</v>
      </c>
      <c r="H137" t="str">
        <f>""</f>
        <v/>
      </c>
      <c r="I137" t="str">
        <f>"8/15/2019 6:20:23 PM"</f>
        <v>8/15/2019 6:20:23 PM</v>
      </c>
      <c r="J137" t="str">
        <f>"1"</f>
        <v>1</v>
      </c>
      <c r="K137" t="str">
        <f>"5"</f>
        <v>5</v>
      </c>
      <c r="L137" t="str">
        <f>"NPOC"</f>
        <v>NPOC</v>
      </c>
      <c r="M137" t="str">
        <f>"110.4"</f>
        <v>110.4</v>
      </c>
      <c r="N137" t="str">
        <f>"22.73"</f>
        <v>22.73</v>
      </c>
      <c r="O137" t="str">
        <f>"NPOC:23.89mg/L TN:1.881mg/L"</f>
        <v>NPOC:23.89mg/L TN:1.881mg/L</v>
      </c>
      <c r="P137">
        <v>1</v>
      </c>
      <c r="Q137" t="str">
        <f>"80"</f>
        <v>80</v>
      </c>
    </row>
    <row r="138" spans="1:17" x14ac:dyDescent="0.2">
      <c r="A138" t="str">
        <f>"Unknown"</f>
        <v>Unknown</v>
      </c>
      <c r="B138" t="str">
        <f>"NPOC/TN"</f>
        <v>NPOC/TN</v>
      </c>
      <c r="C138" t="str">
        <f>"1059"</f>
        <v>1059</v>
      </c>
      <c r="D138" t="str">
        <f>"8"</f>
        <v>8</v>
      </c>
      <c r="E138" t="str">
        <f>"C:\TOC3201\Methods\Itamar\acid_sample.met"</f>
        <v>C:\TOC3201\Methods\Itamar\acid_sample.met</v>
      </c>
      <c r="F138" t="str">
        <f>"C:\TOC3201\CalCurves\Itamar\N_cal_25ppm_acid_laurel.2019_08_15_12_20_41.cal"</f>
        <v>C:\TOC3201\CalCurves\Itamar\N_cal_25ppm_acid_laurel.2019_08_15_12_20_41.cal</v>
      </c>
      <c r="G138">
        <v>1</v>
      </c>
      <c r="H138" t="str">
        <f>""</f>
        <v/>
      </c>
      <c r="I138" t="str">
        <f>"8/15/2019 6:04:28 PM"</f>
        <v>8/15/2019 6:04:28 PM</v>
      </c>
      <c r="J138" t="str">
        <f>"1"</f>
        <v>1</v>
      </c>
      <c r="K138" t="str">
        <f>"1"</f>
        <v>1</v>
      </c>
      <c r="L138" t="str">
        <f>"TN"</f>
        <v>TN</v>
      </c>
      <c r="M138" t="str">
        <f>"7.332"</f>
        <v>7.332</v>
      </c>
      <c r="N138" t="str">
        <f>"2.029"</f>
        <v>2.029</v>
      </c>
      <c r="O138" t="str">
        <f>"NPOC:23.89mg/L TN:1.881mg/L"</f>
        <v>NPOC:23.89mg/L TN:1.881mg/L</v>
      </c>
      <c r="P138">
        <v>0</v>
      </c>
      <c r="Q138" t="str">
        <f>"80"</f>
        <v>80</v>
      </c>
    </row>
    <row r="139" spans="1:17" x14ac:dyDescent="0.2">
      <c r="A139" t="str">
        <f>"Unknown"</f>
        <v>Unknown</v>
      </c>
      <c r="B139" t="str">
        <f>"NPOC/TN"</f>
        <v>NPOC/TN</v>
      </c>
      <c r="C139" t="str">
        <f>"1059"</f>
        <v>1059</v>
      </c>
      <c r="D139" t="str">
        <f>"8"</f>
        <v>8</v>
      </c>
      <c r="E139" t="str">
        <f>"C:\TOC3201\Methods\Itamar\acid_sample.met"</f>
        <v>C:\TOC3201\Methods\Itamar\acid_sample.met</v>
      </c>
      <c r="F139" t="str">
        <f>"C:\TOC3201\CalCurves\Itamar\N_cal_25ppm_acid_laurel.2019_08_15_12_20_41.cal"</f>
        <v>C:\TOC3201\CalCurves\Itamar\N_cal_25ppm_acid_laurel.2019_08_15_12_20_41.cal</v>
      </c>
      <c r="G139">
        <v>1</v>
      </c>
      <c r="H139" t="str">
        <f>""</f>
        <v/>
      </c>
      <c r="I139" t="str">
        <f>"8/15/2019 6:08:00 PM"</f>
        <v>8/15/2019 6:08:00 PM</v>
      </c>
      <c r="J139" t="str">
        <f>"1"</f>
        <v>1</v>
      </c>
      <c r="K139" t="str">
        <f>"2"</f>
        <v>2</v>
      </c>
      <c r="L139" t="str">
        <f>"TN"</f>
        <v>TN</v>
      </c>
      <c r="M139" t="str">
        <f>"5.574"</f>
        <v>5.574</v>
      </c>
      <c r="N139" t="str">
        <f>"1.581"</f>
        <v>1.581</v>
      </c>
      <c r="O139" t="str">
        <f>"NPOC:23.89mg/L TN:1.881mg/L"</f>
        <v>NPOC:23.89mg/L TN:1.881mg/L</v>
      </c>
      <c r="P139">
        <v>1</v>
      </c>
      <c r="Q139" t="str">
        <f>"80"</f>
        <v>80</v>
      </c>
    </row>
    <row r="140" spans="1:17" x14ac:dyDescent="0.2">
      <c r="A140" t="str">
        <f>"Unknown"</f>
        <v>Unknown</v>
      </c>
      <c r="B140" t="str">
        <f>"NPOC/TN"</f>
        <v>NPOC/TN</v>
      </c>
      <c r="C140" t="str">
        <f>"1059"</f>
        <v>1059</v>
      </c>
      <c r="D140" t="str">
        <f>"8"</f>
        <v>8</v>
      </c>
      <c r="E140" t="str">
        <f>"C:\TOC3201\Methods\Itamar\acid_sample.met"</f>
        <v>C:\TOC3201\Methods\Itamar\acid_sample.met</v>
      </c>
      <c r="F140" t="str">
        <f>"C:\TOC3201\CalCurves\Itamar\N_cal_25ppm_acid_laurel.2019_08_15_12_20_41.cal"</f>
        <v>C:\TOC3201\CalCurves\Itamar\N_cal_25ppm_acid_laurel.2019_08_15_12_20_41.cal</v>
      </c>
      <c r="G140">
        <v>1</v>
      </c>
      <c r="H140" t="str">
        <f>""</f>
        <v/>
      </c>
      <c r="I140" t="str">
        <f>"8/15/2019 6:11:45 PM"</f>
        <v>8/15/2019 6:11:45 PM</v>
      </c>
      <c r="J140" t="str">
        <f>"1"</f>
        <v>1</v>
      </c>
      <c r="K140" t="str">
        <f>"3"</f>
        <v>3</v>
      </c>
      <c r="L140" t="str">
        <f>"TN"</f>
        <v>TN</v>
      </c>
      <c r="M140" t="str">
        <f>"6.830"</f>
        <v>6.830</v>
      </c>
      <c r="N140" t="str">
        <f>"1.901"</f>
        <v>1.901</v>
      </c>
      <c r="O140" t="str">
        <f>"NPOC:23.89mg/L TN:1.881mg/L"</f>
        <v>NPOC:23.89mg/L TN:1.881mg/L</v>
      </c>
      <c r="P140">
        <v>0</v>
      </c>
      <c r="Q140" t="str">
        <f>"80"</f>
        <v>80</v>
      </c>
    </row>
    <row r="141" spans="1:17" x14ac:dyDescent="0.2">
      <c r="A141" t="str">
        <f>"Unknown"</f>
        <v>Unknown</v>
      </c>
      <c r="B141" t="str">
        <f>"NPOC/TN"</f>
        <v>NPOC/TN</v>
      </c>
      <c r="C141" t="str">
        <f>"1059"</f>
        <v>1059</v>
      </c>
      <c r="D141" t="str">
        <f>"8"</f>
        <v>8</v>
      </c>
      <c r="E141" t="str">
        <f>"C:\TOC3201\Methods\Itamar\acid_sample.met"</f>
        <v>C:\TOC3201\Methods\Itamar\acid_sample.met</v>
      </c>
      <c r="F141" t="str">
        <f>"C:\TOC3201\CalCurves\Itamar\N_cal_25ppm_acid_laurel.2019_08_15_12_20_41.cal"</f>
        <v>C:\TOC3201\CalCurves\Itamar\N_cal_25ppm_acid_laurel.2019_08_15_12_20_41.cal</v>
      </c>
      <c r="G141">
        <v>1</v>
      </c>
      <c r="H141" t="str">
        <f>""</f>
        <v/>
      </c>
      <c r="I141" t="str">
        <f>"8/15/2019 6:15:24 PM"</f>
        <v>8/15/2019 6:15:24 PM</v>
      </c>
      <c r="J141" t="str">
        <f>"1"</f>
        <v>1</v>
      </c>
      <c r="K141" t="str">
        <f>"4"</f>
        <v>4</v>
      </c>
      <c r="L141" t="str">
        <f>"TN"</f>
        <v>TN</v>
      </c>
      <c r="M141" t="str">
        <f>"6.088"</f>
        <v>6.088</v>
      </c>
      <c r="N141" t="str">
        <f>"1.712"</f>
        <v>1.712</v>
      </c>
      <c r="O141" t="str">
        <f>"NPOC:23.89mg/L TN:1.881mg/L"</f>
        <v>NPOC:23.89mg/L TN:1.881mg/L</v>
      </c>
      <c r="P141">
        <v>0</v>
      </c>
      <c r="Q141" t="str">
        <f>"80"</f>
        <v>80</v>
      </c>
    </row>
    <row r="142" spans="1:17" x14ac:dyDescent="0.2">
      <c r="A142" t="str">
        <f>"Unknown"</f>
        <v>Unknown</v>
      </c>
      <c r="B142" t="str">
        <f>"NPOC/TN"</f>
        <v>NPOC/TN</v>
      </c>
      <c r="C142" t="str">
        <f>"1059"</f>
        <v>1059</v>
      </c>
      <c r="D142" t="str">
        <f>"8"</f>
        <v>8</v>
      </c>
      <c r="E142" t="str">
        <f>"C:\TOC3201\Methods\Itamar\acid_sample.met"</f>
        <v>C:\TOC3201\Methods\Itamar\acid_sample.met</v>
      </c>
      <c r="F142" t="str">
        <f>"C:\TOC3201\CalCurves\Itamar\N_cal_25ppm_acid_laurel.2019_08_15_12_20_41.cal"</f>
        <v>C:\TOC3201\CalCurves\Itamar\N_cal_25ppm_acid_laurel.2019_08_15_12_20_41.cal</v>
      </c>
      <c r="G142">
        <v>1</v>
      </c>
      <c r="H142" t="str">
        <f>""</f>
        <v/>
      </c>
      <c r="I142" t="str">
        <f>"8/15/2019 6:20:23 PM"</f>
        <v>8/15/2019 6:20:23 PM</v>
      </c>
      <c r="J142" t="str">
        <f>"1"</f>
        <v>1</v>
      </c>
      <c r="K142" t="str">
        <f>"5"</f>
        <v>5</v>
      </c>
      <c r="L142" t="str">
        <f>"TN"</f>
        <v>TN</v>
      </c>
      <c r="M142" t="str">
        <f>"10.95"</f>
        <v>10.95</v>
      </c>
      <c r="N142" t="str">
        <f>"2.951"</f>
        <v>2.951</v>
      </c>
      <c r="O142" t="str">
        <f>"NPOC:23.89mg/L TN:1.881mg/L"</f>
        <v>NPOC:23.89mg/L TN:1.881mg/L</v>
      </c>
      <c r="P142">
        <v>1</v>
      </c>
      <c r="Q142" t="str">
        <f>"80"</f>
        <v>80</v>
      </c>
    </row>
    <row r="143" spans="1:17" x14ac:dyDescent="0.2">
      <c r="A143" t="str">
        <f>"Unknown"</f>
        <v>Unknown</v>
      </c>
      <c r="B143" t="str">
        <f>"NPOC/TN"</f>
        <v>NPOC/TN</v>
      </c>
      <c r="C143" t="str">
        <f>"1061"</f>
        <v>1061</v>
      </c>
      <c r="D143" t="str">
        <f>"9"</f>
        <v>9</v>
      </c>
      <c r="E143" t="str">
        <f>"C:\TOC3201\Methods\Itamar\acid_sample.met"</f>
        <v>C:\TOC3201\Methods\Itamar\acid_sample.met</v>
      </c>
      <c r="F143" t="str">
        <f>"C:\TOC3201\CalCurves\Itamar\C_cal_100ppm_acid_laurel.2019_08_15_10_24_40.cal"</f>
        <v>C:\TOC3201\CalCurves\Itamar\C_cal_100ppm_acid_laurel.2019_08_15_10_24_40.cal</v>
      </c>
      <c r="G143">
        <v>1</v>
      </c>
      <c r="H143" t="str">
        <f>""</f>
        <v/>
      </c>
      <c r="I143" t="str">
        <f>"8/15/2019 6:30:26 PM"</f>
        <v>8/15/2019 6:30:26 PM</v>
      </c>
      <c r="J143" t="str">
        <f>"1"</f>
        <v>1</v>
      </c>
      <c r="K143" t="str">
        <f>"1"</f>
        <v>1</v>
      </c>
      <c r="L143" t="str">
        <f>"NPOC"</f>
        <v>NPOC</v>
      </c>
      <c r="M143" t="str">
        <f>"114.0"</f>
        <v>114.0</v>
      </c>
      <c r="N143" t="str">
        <f>"23.47"</f>
        <v>23.47</v>
      </c>
      <c r="O143" t="str">
        <f>"NPOC:23.17mg/L TN:1.639mg/L"</f>
        <v>NPOC:23.17mg/L TN:1.639mg/L</v>
      </c>
      <c r="P143">
        <v>0</v>
      </c>
      <c r="Q143" t="str">
        <f>"80"</f>
        <v>80</v>
      </c>
    </row>
    <row r="144" spans="1:17" x14ac:dyDescent="0.2">
      <c r="A144" t="str">
        <f>"Unknown"</f>
        <v>Unknown</v>
      </c>
      <c r="B144" t="str">
        <f>"NPOC/TN"</f>
        <v>NPOC/TN</v>
      </c>
      <c r="C144" t="str">
        <f>"1061"</f>
        <v>1061</v>
      </c>
      <c r="D144" t="str">
        <f>"9"</f>
        <v>9</v>
      </c>
      <c r="E144" t="str">
        <f>"C:\TOC3201\Methods\Itamar\acid_sample.met"</f>
        <v>C:\TOC3201\Methods\Itamar\acid_sample.met</v>
      </c>
      <c r="F144" t="str">
        <f>"C:\TOC3201\CalCurves\Itamar\C_cal_100ppm_acid_laurel.2019_08_15_10_24_40.cal"</f>
        <v>C:\TOC3201\CalCurves\Itamar\C_cal_100ppm_acid_laurel.2019_08_15_10_24_40.cal</v>
      </c>
      <c r="G144">
        <v>1</v>
      </c>
      <c r="H144" t="str">
        <f>""</f>
        <v/>
      </c>
      <c r="I144" t="str">
        <f>"8/15/2019 6:34:12 PM"</f>
        <v>8/15/2019 6:34:12 PM</v>
      </c>
      <c r="J144" t="str">
        <f>"1"</f>
        <v>1</v>
      </c>
      <c r="K144" t="str">
        <f>"2"</f>
        <v>2</v>
      </c>
      <c r="L144" t="str">
        <f>"NPOC"</f>
        <v>NPOC</v>
      </c>
      <c r="M144" t="str">
        <f>"111.9"</f>
        <v>111.9</v>
      </c>
      <c r="N144" t="str">
        <f>"23.04"</f>
        <v>23.04</v>
      </c>
      <c r="O144" t="str">
        <f>"NPOC:23.17mg/L TN:1.639mg/L"</f>
        <v>NPOC:23.17mg/L TN:1.639mg/L</v>
      </c>
      <c r="P144">
        <v>0</v>
      </c>
      <c r="Q144" t="str">
        <f>"80"</f>
        <v>80</v>
      </c>
    </row>
    <row r="145" spans="1:17" x14ac:dyDescent="0.2">
      <c r="A145" t="str">
        <f>"Unknown"</f>
        <v>Unknown</v>
      </c>
      <c r="B145" t="str">
        <f>"NPOC/TN"</f>
        <v>NPOC/TN</v>
      </c>
      <c r="C145" t="str">
        <f>"1061"</f>
        <v>1061</v>
      </c>
      <c r="D145" t="str">
        <f>"9"</f>
        <v>9</v>
      </c>
      <c r="E145" t="str">
        <f>"C:\TOC3201\Methods\Itamar\acid_sample.met"</f>
        <v>C:\TOC3201\Methods\Itamar\acid_sample.met</v>
      </c>
      <c r="F145" t="str">
        <f>"C:\TOC3201\CalCurves\Itamar\C_cal_100ppm_acid_laurel.2019_08_15_10_24_40.cal"</f>
        <v>C:\TOC3201\CalCurves\Itamar\C_cal_100ppm_acid_laurel.2019_08_15_10_24_40.cal</v>
      </c>
      <c r="G145">
        <v>1</v>
      </c>
      <c r="H145" t="str">
        <f>""</f>
        <v/>
      </c>
      <c r="I145" t="str">
        <f>"8/15/2019 6:37:59 PM"</f>
        <v>8/15/2019 6:37:59 PM</v>
      </c>
      <c r="J145" t="str">
        <f>"1"</f>
        <v>1</v>
      </c>
      <c r="K145" t="str">
        <f>"3"</f>
        <v>3</v>
      </c>
      <c r="L145" t="str">
        <f>"NPOC"</f>
        <v>NPOC</v>
      </c>
      <c r="M145" t="str">
        <f>"121.5"</f>
        <v>121.5</v>
      </c>
      <c r="N145" t="str">
        <f>"25.01"</f>
        <v>25.01</v>
      </c>
      <c r="O145" t="str">
        <f>"NPOC:23.17mg/L TN:1.639mg/L"</f>
        <v>NPOC:23.17mg/L TN:1.639mg/L</v>
      </c>
      <c r="P145">
        <v>1</v>
      </c>
      <c r="Q145" t="str">
        <f>"80"</f>
        <v>80</v>
      </c>
    </row>
    <row r="146" spans="1:17" x14ac:dyDescent="0.2">
      <c r="A146" t="str">
        <f>"Unknown"</f>
        <v>Unknown</v>
      </c>
      <c r="B146" t="str">
        <f>"NPOC/TN"</f>
        <v>NPOC/TN</v>
      </c>
      <c r="C146" t="str">
        <f>"1061"</f>
        <v>1061</v>
      </c>
      <c r="D146" t="str">
        <f>"9"</f>
        <v>9</v>
      </c>
      <c r="E146" t="str">
        <f>"C:\TOC3201\Methods\Itamar\acid_sample.met"</f>
        <v>C:\TOC3201\Methods\Itamar\acid_sample.met</v>
      </c>
      <c r="F146" t="str">
        <f>"C:\TOC3201\CalCurves\Itamar\C_cal_100ppm_acid_laurel.2019_08_15_10_24_40.cal"</f>
        <v>C:\TOC3201\CalCurves\Itamar\C_cal_100ppm_acid_laurel.2019_08_15_10_24_40.cal</v>
      </c>
      <c r="G146">
        <v>1</v>
      </c>
      <c r="H146" t="str">
        <f>""</f>
        <v/>
      </c>
      <c r="I146" t="str">
        <f>"8/15/2019 6:41:41 PM"</f>
        <v>8/15/2019 6:41:41 PM</v>
      </c>
      <c r="J146" t="str">
        <f>"1"</f>
        <v>1</v>
      </c>
      <c r="K146" t="str">
        <f>"4"</f>
        <v>4</v>
      </c>
      <c r="L146" t="str">
        <f>"NPOC"</f>
        <v>NPOC</v>
      </c>
      <c r="M146" t="str">
        <f>"118.1"</f>
        <v>118.1</v>
      </c>
      <c r="N146" t="str">
        <f>"24.31"</f>
        <v>24.31</v>
      </c>
      <c r="O146" t="str">
        <f>"NPOC:23.17mg/L TN:1.639mg/L"</f>
        <v>NPOC:23.17mg/L TN:1.639mg/L</v>
      </c>
      <c r="P146">
        <v>1</v>
      </c>
      <c r="Q146" t="str">
        <f>"80"</f>
        <v>80</v>
      </c>
    </row>
    <row r="147" spans="1:17" x14ac:dyDescent="0.2">
      <c r="A147" t="str">
        <f>"Unknown"</f>
        <v>Unknown</v>
      </c>
      <c r="B147" t="str">
        <f>"NPOC/TN"</f>
        <v>NPOC/TN</v>
      </c>
      <c r="C147" t="str">
        <f>"1061"</f>
        <v>1061</v>
      </c>
      <c r="D147" t="str">
        <f>"9"</f>
        <v>9</v>
      </c>
      <c r="E147" t="str">
        <f>"C:\TOC3201\Methods\Itamar\acid_sample.met"</f>
        <v>C:\TOC3201\Methods\Itamar\acid_sample.met</v>
      </c>
      <c r="F147" t="str">
        <f>"C:\TOC3201\CalCurves\Itamar\C_cal_100ppm_acid_laurel.2019_08_15_10_24_40.cal"</f>
        <v>C:\TOC3201\CalCurves\Itamar\C_cal_100ppm_acid_laurel.2019_08_15_10_24_40.cal</v>
      </c>
      <c r="G147">
        <v>1</v>
      </c>
      <c r="H147" t="str">
        <f>""</f>
        <v/>
      </c>
      <c r="I147" t="str">
        <f>"8/15/2019 6:45:19 PM"</f>
        <v>8/15/2019 6:45:19 PM</v>
      </c>
      <c r="J147" t="str">
        <f>"1"</f>
        <v>1</v>
      </c>
      <c r="K147" t="str">
        <f>"5"</f>
        <v>5</v>
      </c>
      <c r="L147" t="str">
        <f>"NPOC"</f>
        <v>NPOC</v>
      </c>
      <c r="M147" t="str">
        <f>"111.7"</f>
        <v>111.7</v>
      </c>
      <c r="N147" t="str">
        <f>"23.00"</f>
        <v>23.00</v>
      </c>
      <c r="O147" t="str">
        <f>"NPOC:23.17mg/L TN:1.639mg/L"</f>
        <v>NPOC:23.17mg/L TN:1.639mg/L</v>
      </c>
      <c r="P147">
        <v>0</v>
      </c>
      <c r="Q147" t="str">
        <f>"80"</f>
        <v>80</v>
      </c>
    </row>
    <row r="148" spans="1:17" x14ac:dyDescent="0.2">
      <c r="A148" t="str">
        <f>"Unknown"</f>
        <v>Unknown</v>
      </c>
      <c r="B148" t="str">
        <f>"NPOC/TN"</f>
        <v>NPOC/TN</v>
      </c>
      <c r="C148" t="str">
        <f>"1061"</f>
        <v>1061</v>
      </c>
      <c r="D148" t="str">
        <f>"9"</f>
        <v>9</v>
      </c>
      <c r="E148" t="str">
        <f>"C:\TOC3201\Methods\Itamar\acid_sample.met"</f>
        <v>C:\TOC3201\Methods\Itamar\acid_sample.met</v>
      </c>
      <c r="F148" t="str">
        <f>"C:\TOC3201\CalCurves\Itamar\N_cal_25ppm_acid_laurel.2019_08_15_12_20_41.cal"</f>
        <v>C:\TOC3201\CalCurves\Itamar\N_cal_25ppm_acid_laurel.2019_08_15_12_20_41.cal</v>
      </c>
      <c r="G148">
        <v>1</v>
      </c>
      <c r="H148" t="str">
        <f>""</f>
        <v/>
      </c>
      <c r="I148" t="str">
        <f>"8/15/2019 6:30:26 PM"</f>
        <v>8/15/2019 6:30:26 PM</v>
      </c>
      <c r="J148" t="str">
        <f>"1"</f>
        <v>1</v>
      </c>
      <c r="K148" t="str">
        <f>"1"</f>
        <v>1</v>
      </c>
      <c r="L148" t="str">
        <f>"TN"</f>
        <v>TN</v>
      </c>
      <c r="M148" t="str">
        <f>"5.696"</f>
        <v>5.696</v>
      </c>
      <c r="N148" t="str">
        <f>"1.612"</f>
        <v>1.612</v>
      </c>
      <c r="O148" t="str">
        <f>"NPOC:23.17mg/L TN:1.639mg/L"</f>
        <v>NPOC:23.17mg/L TN:1.639mg/L</v>
      </c>
      <c r="P148">
        <v>0</v>
      </c>
      <c r="Q148" t="str">
        <f>"80"</f>
        <v>80</v>
      </c>
    </row>
    <row r="149" spans="1:17" x14ac:dyDescent="0.2">
      <c r="A149" t="str">
        <f>"Unknown"</f>
        <v>Unknown</v>
      </c>
      <c r="B149" t="str">
        <f>"NPOC/TN"</f>
        <v>NPOC/TN</v>
      </c>
      <c r="C149" t="str">
        <f>"1061"</f>
        <v>1061</v>
      </c>
      <c r="D149" t="str">
        <f>"9"</f>
        <v>9</v>
      </c>
      <c r="E149" t="str">
        <f>"C:\TOC3201\Methods\Itamar\acid_sample.met"</f>
        <v>C:\TOC3201\Methods\Itamar\acid_sample.met</v>
      </c>
      <c r="F149" t="str">
        <f>"C:\TOC3201\CalCurves\Itamar\N_cal_25ppm_acid_laurel.2019_08_15_12_20_41.cal"</f>
        <v>C:\TOC3201\CalCurves\Itamar\N_cal_25ppm_acid_laurel.2019_08_15_12_20_41.cal</v>
      </c>
      <c r="G149">
        <v>1</v>
      </c>
      <c r="H149" t="str">
        <f>""</f>
        <v/>
      </c>
      <c r="I149" t="str">
        <f>"8/15/2019 6:34:12 PM"</f>
        <v>8/15/2019 6:34:12 PM</v>
      </c>
      <c r="J149" t="str">
        <f>"1"</f>
        <v>1</v>
      </c>
      <c r="K149" t="str">
        <f>"2"</f>
        <v>2</v>
      </c>
      <c r="L149" t="str">
        <f>"TN"</f>
        <v>TN</v>
      </c>
      <c r="M149" t="str">
        <f>"6.426"</f>
        <v>6.426</v>
      </c>
      <c r="N149" t="str">
        <f>"1.798"</f>
        <v>1.798</v>
      </c>
      <c r="O149" t="str">
        <f>"NPOC:23.17mg/L TN:1.639mg/L"</f>
        <v>NPOC:23.17mg/L TN:1.639mg/L</v>
      </c>
      <c r="P149">
        <v>1</v>
      </c>
      <c r="Q149" t="str">
        <f>"80"</f>
        <v>80</v>
      </c>
    </row>
    <row r="150" spans="1:17" x14ac:dyDescent="0.2">
      <c r="A150" t="str">
        <f>"Unknown"</f>
        <v>Unknown</v>
      </c>
      <c r="B150" t="str">
        <f>"NPOC/TN"</f>
        <v>NPOC/TN</v>
      </c>
      <c r="C150" t="str">
        <f>"1061"</f>
        <v>1061</v>
      </c>
      <c r="D150" t="str">
        <f>"9"</f>
        <v>9</v>
      </c>
      <c r="E150" t="str">
        <f>"C:\TOC3201\Methods\Itamar\acid_sample.met"</f>
        <v>C:\TOC3201\Methods\Itamar\acid_sample.met</v>
      </c>
      <c r="F150" t="str">
        <f>"C:\TOC3201\CalCurves\Itamar\N_cal_25ppm_acid_laurel.2019_08_15_12_20_41.cal"</f>
        <v>C:\TOC3201\CalCurves\Itamar\N_cal_25ppm_acid_laurel.2019_08_15_12_20_41.cal</v>
      </c>
      <c r="G150">
        <v>1</v>
      </c>
      <c r="H150" t="str">
        <f>""</f>
        <v/>
      </c>
      <c r="I150" t="str">
        <f>"8/15/2019 6:37:59 PM"</f>
        <v>8/15/2019 6:37:59 PM</v>
      </c>
      <c r="J150" t="str">
        <f>"1"</f>
        <v>1</v>
      </c>
      <c r="K150" t="str">
        <f>"3"</f>
        <v>3</v>
      </c>
      <c r="L150" t="str">
        <f>"TN"</f>
        <v>TN</v>
      </c>
      <c r="M150" t="str">
        <f>"6.180"</f>
        <v>6.180</v>
      </c>
      <c r="N150" t="str">
        <f>"1.736"</f>
        <v>1.736</v>
      </c>
      <c r="O150" t="str">
        <f>"NPOC:23.17mg/L TN:1.639mg/L"</f>
        <v>NPOC:23.17mg/L TN:1.639mg/L</v>
      </c>
      <c r="P150">
        <v>1</v>
      </c>
      <c r="Q150" t="str">
        <f>"80"</f>
        <v>80</v>
      </c>
    </row>
    <row r="151" spans="1:17" x14ac:dyDescent="0.2">
      <c r="A151" t="str">
        <f>"Unknown"</f>
        <v>Unknown</v>
      </c>
      <c r="B151" t="str">
        <f>"NPOC/TN"</f>
        <v>NPOC/TN</v>
      </c>
      <c r="C151" t="str">
        <f>"1061"</f>
        <v>1061</v>
      </c>
      <c r="D151" t="str">
        <f>"9"</f>
        <v>9</v>
      </c>
      <c r="E151" t="str">
        <f>"C:\TOC3201\Methods\Itamar\acid_sample.met"</f>
        <v>C:\TOC3201\Methods\Itamar\acid_sample.met</v>
      </c>
      <c r="F151" t="str">
        <f>"C:\TOC3201\CalCurves\Itamar\N_cal_25ppm_acid_laurel.2019_08_15_12_20_41.cal"</f>
        <v>C:\TOC3201\CalCurves\Itamar\N_cal_25ppm_acid_laurel.2019_08_15_12_20_41.cal</v>
      </c>
      <c r="G151">
        <v>1</v>
      </c>
      <c r="H151" t="str">
        <f>""</f>
        <v/>
      </c>
      <c r="I151" t="str">
        <f>"8/15/2019 6:41:41 PM"</f>
        <v>8/15/2019 6:41:41 PM</v>
      </c>
      <c r="J151" t="str">
        <f>"1"</f>
        <v>1</v>
      </c>
      <c r="K151" t="str">
        <f>"4"</f>
        <v>4</v>
      </c>
      <c r="L151" t="str">
        <f>"TN"</f>
        <v>TN</v>
      </c>
      <c r="M151" t="str">
        <f>"5.993"</f>
        <v>5.993</v>
      </c>
      <c r="N151" t="str">
        <f>"1.688"</f>
        <v>1.688</v>
      </c>
      <c r="O151" t="str">
        <f>"NPOC:23.17mg/L TN:1.639mg/L"</f>
        <v>NPOC:23.17mg/L TN:1.639mg/L</v>
      </c>
      <c r="P151">
        <v>0</v>
      </c>
      <c r="Q151" t="str">
        <f>"80"</f>
        <v>80</v>
      </c>
    </row>
    <row r="152" spans="1:17" x14ac:dyDescent="0.2">
      <c r="A152" t="str">
        <f>"Unknown"</f>
        <v>Unknown</v>
      </c>
      <c r="B152" t="str">
        <f>"NPOC/TN"</f>
        <v>NPOC/TN</v>
      </c>
      <c r="C152" t="str">
        <f>"1061"</f>
        <v>1061</v>
      </c>
      <c r="D152" t="str">
        <f>"9"</f>
        <v>9</v>
      </c>
      <c r="E152" t="str">
        <f>"C:\TOC3201\Methods\Itamar\acid_sample.met"</f>
        <v>C:\TOC3201\Methods\Itamar\acid_sample.met</v>
      </c>
      <c r="F152" t="str">
        <f>"C:\TOC3201\CalCurves\Itamar\N_cal_25ppm_acid_laurel.2019_08_15_12_20_41.cal"</f>
        <v>C:\TOC3201\CalCurves\Itamar\N_cal_25ppm_acid_laurel.2019_08_15_12_20_41.cal</v>
      </c>
      <c r="G152">
        <v>1</v>
      </c>
      <c r="H152" t="str">
        <f>""</f>
        <v/>
      </c>
      <c r="I152" t="str">
        <f>"8/15/2019 6:45:19 PM"</f>
        <v>8/15/2019 6:45:19 PM</v>
      </c>
      <c r="J152" t="str">
        <f>"1"</f>
        <v>1</v>
      </c>
      <c r="K152" t="str">
        <f>"5"</f>
        <v>5</v>
      </c>
      <c r="L152" t="str">
        <f>"TN"</f>
        <v>TN</v>
      </c>
      <c r="M152" t="str">
        <f>"5.720"</f>
        <v>5.720</v>
      </c>
      <c r="N152" t="str">
        <f>"1.618"</f>
        <v>1.618</v>
      </c>
      <c r="O152" t="str">
        <f>"NPOC:23.17mg/L TN:1.639mg/L"</f>
        <v>NPOC:23.17mg/L TN:1.639mg/L</v>
      </c>
      <c r="P152">
        <v>0</v>
      </c>
      <c r="Q152" t="str">
        <f>"80"</f>
        <v>80</v>
      </c>
    </row>
    <row r="153" spans="1:17" x14ac:dyDescent="0.2">
      <c r="A153" t="str">
        <f>"Unknown"</f>
        <v>Unknown</v>
      </c>
      <c r="B153" t="str">
        <f>"NPOC/TN"</f>
        <v>NPOC/TN</v>
      </c>
      <c r="C153" t="str">
        <f>"1063"</f>
        <v>1063</v>
      </c>
      <c r="D153" t="str">
        <f>"10"</f>
        <v>10</v>
      </c>
      <c r="E153" t="str">
        <f>"C:\TOC3201\Methods\Itamar\acid_sample.met"</f>
        <v>C:\TOC3201\Methods\Itamar\acid_sample.met</v>
      </c>
      <c r="F153" t="str">
        <f>"C:\TOC3201\CalCurves\Itamar\C_cal_100ppm_acid_laurel.2019_08_15_10_24_40.cal"</f>
        <v>C:\TOC3201\CalCurves\Itamar\C_cal_100ppm_acid_laurel.2019_08_15_10_24_40.cal</v>
      </c>
      <c r="G153">
        <v>1</v>
      </c>
      <c r="H153" t="str">
        <f>""</f>
        <v/>
      </c>
      <c r="I153" t="str">
        <f>"8/15/2019 6:54:56 PM"</f>
        <v>8/15/2019 6:54:56 PM</v>
      </c>
      <c r="J153" t="str">
        <f>"1"</f>
        <v>1</v>
      </c>
      <c r="K153" t="str">
        <f>"1"</f>
        <v>1</v>
      </c>
      <c r="L153" t="str">
        <f>"NPOC"</f>
        <v>NPOC</v>
      </c>
      <c r="M153" t="str">
        <f>"26.59"</f>
        <v>26.59</v>
      </c>
      <c r="N153" t="str">
        <f>"5.520"</f>
        <v>5.520</v>
      </c>
      <c r="O153" t="str">
        <f>"NPOC:5.472mg/L TN:0.5288mg/L"</f>
        <v>NPOC:5.472mg/L TN:0.5288mg/L</v>
      </c>
      <c r="P153">
        <v>0</v>
      </c>
      <c r="Q153" t="str">
        <f>"80"</f>
        <v>80</v>
      </c>
    </row>
    <row r="154" spans="1:17" x14ac:dyDescent="0.2">
      <c r="A154" t="str">
        <f>"Unknown"</f>
        <v>Unknown</v>
      </c>
      <c r="B154" t="str">
        <f>"NPOC/TN"</f>
        <v>NPOC/TN</v>
      </c>
      <c r="C154" t="str">
        <f>"1063"</f>
        <v>1063</v>
      </c>
      <c r="D154" t="str">
        <f>"10"</f>
        <v>10</v>
      </c>
      <c r="E154" t="str">
        <f>"C:\TOC3201\Methods\Itamar\acid_sample.met"</f>
        <v>C:\TOC3201\Methods\Itamar\acid_sample.met</v>
      </c>
      <c r="F154" t="str">
        <f>"C:\TOC3201\CalCurves\Itamar\C_cal_100ppm_acid_laurel.2019_08_15_10_24_40.cal"</f>
        <v>C:\TOC3201\CalCurves\Itamar\C_cal_100ppm_acid_laurel.2019_08_15_10_24_40.cal</v>
      </c>
      <c r="G154">
        <v>1</v>
      </c>
      <c r="H154" t="str">
        <f>""</f>
        <v/>
      </c>
      <c r="I154" t="str">
        <f>"8/15/2019 6:58:03 PM"</f>
        <v>8/15/2019 6:58:03 PM</v>
      </c>
      <c r="J154" t="str">
        <f>"1"</f>
        <v>1</v>
      </c>
      <c r="K154" t="str">
        <f>"2"</f>
        <v>2</v>
      </c>
      <c r="L154" t="str">
        <f>"NPOC"</f>
        <v>NPOC</v>
      </c>
      <c r="M154" t="str">
        <f>"25.82"</f>
        <v>25.82</v>
      </c>
      <c r="N154" t="str">
        <f>"5.362"</f>
        <v>5.362</v>
      </c>
      <c r="O154" t="str">
        <f>"NPOC:5.472mg/L TN:0.5288mg/L"</f>
        <v>NPOC:5.472mg/L TN:0.5288mg/L</v>
      </c>
      <c r="P154">
        <v>0</v>
      </c>
      <c r="Q154" t="str">
        <f>"80"</f>
        <v>80</v>
      </c>
    </row>
    <row r="155" spans="1:17" x14ac:dyDescent="0.2">
      <c r="A155" t="str">
        <f>"Unknown"</f>
        <v>Unknown</v>
      </c>
      <c r="B155" t="str">
        <f>"NPOC/TN"</f>
        <v>NPOC/TN</v>
      </c>
      <c r="C155" t="str">
        <f>"1063"</f>
        <v>1063</v>
      </c>
      <c r="D155" t="str">
        <f>"10"</f>
        <v>10</v>
      </c>
      <c r="E155" t="str">
        <f>"C:\TOC3201\Methods\Itamar\acid_sample.met"</f>
        <v>C:\TOC3201\Methods\Itamar\acid_sample.met</v>
      </c>
      <c r="F155" t="str">
        <f>"C:\TOC3201\CalCurves\Itamar\C_cal_100ppm_acid_laurel.2019_08_15_10_24_40.cal"</f>
        <v>C:\TOC3201\CalCurves\Itamar\C_cal_100ppm_acid_laurel.2019_08_15_10_24_40.cal</v>
      </c>
      <c r="G155">
        <v>1</v>
      </c>
      <c r="H155" t="str">
        <f>""</f>
        <v/>
      </c>
      <c r="I155" t="str">
        <f>"8/15/2019 7:01:12 PM"</f>
        <v>8/15/2019 7:01:12 PM</v>
      </c>
      <c r="J155" t="str">
        <f>"1"</f>
        <v>1</v>
      </c>
      <c r="K155" t="str">
        <f>"3"</f>
        <v>3</v>
      </c>
      <c r="L155" t="str">
        <f>"NPOC"</f>
        <v>NPOC</v>
      </c>
      <c r="M155" t="str">
        <f>"27.68"</f>
        <v>27.68</v>
      </c>
      <c r="N155" t="str">
        <f>"5.744"</f>
        <v>5.744</v>
      </c>
      <c r="O155" t="str">
        <f>"NPOC:5.472mg/L TN:0.5288mg/L"</f>
        <v>NPOC:5.472mg/L TN:0.5288mg/L</v>
      </c>
      <c r="P155">
        <v>1</v>
      </c>
      <c r="Q155" t="str">
        <f>"80"</f>
        <v>80</v>
      </c>
    </row>
    <row r="156" spans="1:17" x14ac:dyDescent="0.2">
      <c r="A156" t="str">
        <f>"Unknown"</f>
        <v>Unknown</v>
      </c>
      <c r="B156" t="str">
        <f>"NPOC/TN"</f>
        <v>NPOC/TN</v>
      </c>
      <c r="C156" t="str">
        <f>"1063"</f>
        <v>1063</v>
      </c>
      <c r="D156" t="str">
        <f>"10"</f>
        <v>10</v>
      </c>
      <c r="E156" t="str">
        <f>"C:\TOC3201\Methods\Itamar\acid_sample.met"</f>
        <v>C:\TOC3201\Methods\Itamar\acid_sample.met</v>
      </c>
      <c r="F156" t="str">
        <f>"C:\TOC3201\CalCurves\Itamar\C_cal_100ppm_acid_laurel.2019_08_15_10_24_40.cal"</f>
        <v>C:\TOC3201\CalCurves\Itamar\C_cal_100ppm_acid_laurel.2019_08_15_10_24_40.cal</v>
      </c>
      <c r="G156">
        <v>1</v>
      </c>
      <c r="H156" t="str">
        <f>""</f>
        <v/>
      </c>
      <c r="I156" t="str">
        <f>"8/15/2019 7:04:18 PM"</f>
        <v>8/15/2019 7:04:18 PM</v>
      </c>
      <c r="J156" t="str">
        <f>"1"</f>
        <v>1</v>
      </c>
      <c r="K156" t="str">
        <f>"4"</f>
        <v>4</v>
      </c>
      <c r="L156" t="str">
        <f>"NPOC"</f>
        <v>NPOC</v>
      </c>
      <c r="M156" t="str">
        <f>"26.66"</f>
        <v>26.66</v>
      </c>
      <c r="N156" t="str">
        <f>"5.535"</f>
        <v>5.535</v>
      </c>
      <c r="O156" t="str">
        <f>"NPOC:5.472mg/L TN:0.5288mg/L"</f>
        <v>NPOC:5.472mg/L TN:0.5288mg/L</v>
      </c>
      <c r="P156">
        <v>0</v>
      </c>
      <c r="Q156" t="str">
        <f>"80"</f>
        <v>80</v>
      </c>
    </row>
    <row r="157" spans="1:17" x14ac:dyDescent="0.2">
      <c r="A157" t="str">
        <f>"Unknown"</f>
        <v>Unknown</v>
      </c>
      <c r="B157" t="str">
        <f>"NPOC/TN"</f>
        <v>NPOC/TN</v>
      </c>
      <c r="C157" t="str">
        <f>"1063"</f>
        <v>1063</v>
      </c>
      <c r="D157" t="str">
        <f>"10"</f>
        <v>10</v>
      </c>
      <c r="E157" t="str">
        <f>"C:\TOC3201\Methods\Itamar\acid_sample.met"</f>
        <v>C:\TOC3201\Methods\Itamar\acid_sample.met</v>
      </c>
      <c r="F157" t="str">
        <f>"C:\TOC3201\CalCurves\Itamar\N_cal_25ppm_acid_laurel.2019_08_15_12_20_41.cal"</f>
        <v>C:\TOC3201\CalCurves\Itamar\N_cal_25ppm_acid_laurel.2019_08_15_12_20_41.cal</v>
      </c>
      <c r="G157">
        <v>1</v>
      </c>
      <c r="H157" t="str">
        <f>""</f>
        <v/>
      </c>
      <c r="I157" t="str">
        <f>"8/15/2019 6:54:56 PM"</f>
        <v>8/15/2019 6:54:56 PM</v>
      </c>
      <c r="J157" t="str">
        <f>"1"</f>
        <v>1</v>
      </c>
      <c r="K157" t="str">
        <f>"1"</f>
        <v>1</v>
      </c>
      <c r="L157" t="str">
        <f>"TN"</f>
        <v>TN</v>
      </c>
      <c r="M157" t="str">
        <f>"1.488"</f>
        <v>1.488</v>
      </c>
      <c r="N157" t="str">
        <f>"0.5400"</f>
        <v>0.5400</v>
      </c>
      <c r="O157" t="str">
        <f>"NPOC:5.472mg/L TN:0.5288mg/L"</f>
        <v>NPOC:5.472mg/L TN:0.5288mg/L</v>
      </c>
      <c r="P157">
        <v>0</v>
      </c>
      <c r="Q157" t="str">
        <f>"80"</f>
        <v>80</v>
      </c>
    </row>
    <row r="158" spans="1:17" x14ac:dyDescent="0.2">
      <c r="A158" t="str">
        <f>"Unknown"</f>
        <v>Unknown</v>
      </c>
      <c r="B158" t="str">
        <f>"NPOC/TN"</f>
        <v>NPOC/TN</v>
      </c>
      <c r="C158" t="str">
        <f>"1063"</f>
        <v>1063</v>
      </c>
      <c r="D158" t="str">
        <f>"10"</f>
        <v>10</v>
      </c>
      <c r="E158" t="str">
        <f>"C:\TOC3201\Methods\Itamar\acid_sample.met"</f>
        <v>C:\TOC3201\Methods\Itamar\acid_sample.met</v>
      </c>
      <c r="F158" t="str">
        <f>"C:\TOC3201\CalCurves\Itamar\N_cal_25ppm_acid_laurel.2019_08_15_12_20_41.cal"</f>
        <v>C:\TOC3201\CalCurves\Itamar\N_cal_25ppm_acid_laurel.2019_08_15_12_20_41.cal</v>
      </c>
      <c r="G158">
        <v>1</v>
      </c>
      <c r="H158" t="str">
        <f>""</f>
        <v/>
      </c>
      <c r="I158" t="str">
        <f>"8/15/2019 6:58:03 PM"</f>
        <v>8/15/2019 6:58:03 PM</v>
      </c>
      <c r="J158" t="str">
        <f>"1"</f>
        <v>1</v>
      </c>
      <c r="K158" t="str">
        <f>"2"</f>
        <v>2</v>
      </c>
      <c r="L158" t="str">
        <f>"TN"</f>
        <v>TN</v>
      </c>
      <c r="M158" t="str">
        <f>"1.388"</f>
        <v>1.388</v>
      </c>
      <c r="N158" t="str">
        <f>"0.5146"</f>
        <v>0.5146</v>
      </c>
      <c r="O158" t="str">
        <f>"NPOC:5.472mg/L TN:0.5288mg/L"</f>
        <v>NPOC:5.472mg/L TN:0.5288mg/L</v>
      </c>
      <c r="P158">
        <v>0</v>
      </c>
      <c r="Q158" t="str">
        <f>"80"</f>
        <v>80</v>
      </c>
    </row>
    <row r="159" spans="1:17" x14ac:dyDescent="0.2">
      <c r="A159" t="str">
        <f>"Unknown"</f>
        <v>Unknown</v>
      </c>
      <c r="B159" t="str">
        <f>"NPOC/TN"</f>
        <v>NPOC/TN</v>
      </c>
      <c r="C159" t="str">
        <f>"1063"</f>
        <v>1063</v>
      </c>
      <c r="D159" t="str">
        <f>"10"</f>
        <v>10</v>
      </c>
      <c r="E159" t="str">
        <f>"C:\TOC3201\Methods\Itamar\acid_sample.met"</f>
        <v>C:\TOC3201\Methods\Itamar\acid_sample.met</v>
      </c>
      <c r="F159" t="str">
        <f>"C:\TOC3201\CalCurves\Itamar\N_cal_25ppm_acid_laurel.2019_08_15_12_20_41.cal"</f>
        <v>C:\TOC3201\CalCurves\Itamar\N_cal_25ppm_acid_laurel.2019_08_15_12_20_41.cal</v>
      </c>
      <c r="G159">
        <v>1</v>
      </c>
      <c r="H159" t="str">
        <f>""</f>
        <v/>
      </c>
      <c r="I159" t="str">
        <f>"8/15/2019 7:01:12 PM"</f>
        <v>8/15/2019 7:01:12 PM</v>
      </c>
      <c r="J159" t="str">
        <f>"1"</f>
        <v>1</v>
      </c>
      <c r="K159" t="str">
        <f>"3"</f>
        <v>3</v>
      </c>
      <c r="L159" t="str">
        <f>"TN"</f>
        <v>TN</v>
      </c>
      <c r="M159" t="str">
        <f>"1.456"</f>
        <v>1.456</v>
      </c>
      <c r="N159" t="str">
        <f>"0.5319"</f>
        <v>0.5319</v>
      </c>
      <c r="O159" t="str">
        <f>"NPOC:5.472mg/L TN:0.5288mg/L"</f>
        <v>NPOC:5.472mg/L TN:0.5288mg/L</v>
      </c>
      <c r="P159">
        <v>0</v>
      </c>
      <c r="Q159" t="str">
        <f>"80"</f>
        <v>80</v>
      </c>
    </row>
    <row r="160" spans="1:17" x14ac:dyDescent="0.2">
      <c r="A160" t="str">
        <f>"Unknown"</f>
        <v>Unknown</v>
      </c>
      <c r="B160" t="str">
        <f>"NPOC/TN"</f>
        <v>NPOC/TN</v>
      </c>
      <c r="C160" t="str">
        <f>"1065"</f>
        <v>1065</v>
      </c>
      <c r="D160" t="str">
        <f>"11"</f>
        <v>11</v>
      </c>
      <c r="E160" t="str">
        <f>"C:\TOC3201\Methods\Itamar\acid_sample.met"</f>
        <v>C:\TOC3201\Methods\Itamar\acid_sample.met</v>
      </c>
      <c r="F160" t="str">
        <f>"C:\TOC3201\CalCurves\Itamar\C_cal_100ppm_acid_laurel.2019_08_15_10_24_40.cal"</f>
        <v>C:\TOC3201\CalCurves\Itamar\C_cal_100ppm_acid_laurel.2019_08_15_10_24_40.cal</v>
      </c>
      <c r="G160">
        <v>1</v>
      </c>
      <c r="H160" t="str">
        <f>""</f>
        <v/>
      </c>
      <c r="I160" t="str">
        <f>"8/15/2019 7:13:56 PM"</f>
        <v>8/15/2019 7:13:56 PM</v>
      </c>
      <c r="J160" t="str">
        <f>"1"</f>
        <v>1</v>
      </c>
      <c r="K160" t="str">
        <f>"1"</f>
        <v>1</v>
      </c>
      <c r="L160" t="str">
        <f>"NPOC"</f>
        <v>NPOC</v>
      </c>
      <c r="M160" t="str">
        <f>"22.66"</f>
        <v>22.66</v>
      </c>
      <c r="N160" t="str">
        <f>"4.713"</f>
        <v>4.713</v>
      </c>
      <c r="O160" t="str">
        <f>"NPOC:4.676mg/L TN:0.5575mg/L"</f>
        <v>NPOC:4.676mg/L TN:0.5575mg/L</v>
      </c>
      <c r="P160">
        <v>0</v>
      </c>
      <c r="Q160" t="str">
        <f>"80"</f>
        <v>80</v>
      </c>
    </row>
    <row r="161" spans="1:17" x14ac:dyDescent="0.2">
      <c r="A161" t="str">
        <f>"Unknown"</f>
        <v>Unknown</v>
      </c>
      <c r="B161" t="str">
        <f>"NPOC/TN"</f>
        <v>NPOC/TN</v>
      </c>
      <c r="C161" t="str">
        <f>"1065"</f>
        <v>1065</v>
      </c>
      <c r="D161" t="str">
        <f>"11"</f>
        <v>11</v>
      </c>
      <c r="E161" t="str">
        <f>"C:\TOC3201\Methods\Itamar\acid_sample.met"</f>
        <v>C:\TOC3201\Methods\Itamar\acid_sample.met</v>
      </c>
      <c r="F161" t="str">
        <f>"C:\TOC3201\CalCurves\Itamar\C_cal_100ppm_acid_laurel.2019_08_15_10_24_40.cal"</f>
        <v>C:\TOC3201\CalCurves\Itamar\C_cal_100ppm_acid_laurel.2019_08_15_10_24_40.cal</v>
      </c>
      <c r="G161">
        <v>1</v>
      </c>
      <c r="H161" t="str">
        <f>""</f>
        <v/>
      </c>
      <c r="I161" t="str">
        <f>"8/15/2019 7:17:08 PM"</f>
        <v>8/15/2019 7:17:08 PM</v>
      </c>
      <c r="J161" t="str">
        <f>"1"</f>
        <v>1</v>
      </c>
      <c r="K161" t="str">
        <f>"2"</f>
        <v>2</v>
      </c>
      <c r="L161" t="str">
        <f>"NPOC"</f>
        <v>NPOC</v>
      </c>
      <c r="M161" t="str">
        <f>"22.62"</f>
        <v>22.62</v>
      </c>
      <c r="N161" t="str">
        <f>"4.705"</f>
        <v>4.705</v>
      </c>
      <c r="O161" t="str">
        <f>"NPOC:4.676mg/L TN:0.5575mg/L"</f>
        <v>NPOC:4.676mg/L TN:0.5575mg/L</v>
      </c>
      <c r="P161">
        <v>0</v>
      </c>
      <c r="Q161" t="str">
        <f>"80"</f>
        <v>80</v>
      </c>
    </row>
    <row r="162" spans="1:17" x14ac:dyDescent="0.2">
      <c r="A162" t="str">
        <f>"Unknown"</f>
        <v>Unknown</v>
      </c>
      <c r="B162" t="str">
        <f>"NPOC/TN"</f>
        <v>NPOC/TN</v>
      </c>
      <c r="C162" t="str">
        <f>"1065"</f>
        <v>1065</v>
      </c>
      <c r="D162" t="str">
        <f>"11"</f>
        <v>11</v>
      </c>
      <c r="E162" t="str">
        <f>"C:\TOC3201\Methods\Itamar\acid_sample.met"</f>
        <v>C:\TOC3201\Methods\Itamar\acid_sample.met</v>
      </c>
      <c r="F162" t="str">
        <f>"C:\TOC3201\CalCurves\Itamar\C_cal_100ppm_acid_laurel.2019_08_15_10_24_40.cal"</f>
        <v>C:\TOC3201\CalCurves\Itamar\C_cal_100ppm_acid_laurel.2019_08_15_10_24_40.cal</v>
      </c>
      <c r="G162">
        <v>1</v>
      </c>
      <c r="H162" t="str">
        <f>""</f>
        <v/>
      </c>
      <c r="I162" t="str">
        <f>"8/15/2019 7:20:17 PM"</f>
        <v>8/15/2019 7:20:17 PM</v>
      </c>
      <c r="J162" t="str">
        <f>"1"</f>
        <v>1</v>
      </c>
      <c r="K162" t="str">
        <f>"3"</f>
        <v>3</v>
      </c>
      <c r="L162" t="str">
        <f>"NPOC"</f>
        <v>NPOC</v>
      </c>
      <c r="M162" t="str">
        <f>"23.66"</f>
        <v>23.66</v>
      </c>
      <c r="N162" t="str">
        <f>"4.919"</f>
        <v>4.919</v>
      </c>
      <c r="O162" t="str">
        <f>"NPOC:4.676mg/L TN:0.5575mg/L"</f>
        <v>NPOC:4.676mg/L TN:0.5575mg/L</v>
      </c>
      <c r="P162">
        <v>1</v>
      </c>
      <c r="Q162" t="str">
        <f>"80"</f>
        <v>80</v>
      </c>
    </row>
    <row r="163" spans="1:17" x14ac:dyDescent="0.2">
      <c r="A163" t="str">
        <f>"Unknown"</f>
        <v>Unknown</v>
      </c>
      <c r="B163" t="str">
        <f>"NPOC/TN"</f>
        <v>NPOC/TN</v>
      </c>
      <c r="C163" t="str">
        <f>"1065"</f>
        <v>1065</v>
      </c>
      <c r="D163" t="str">
        <f>"11"</f>
        <v>11</v>
      </c>
      <c r="E163" t="str">
        <f>"C:\TOC3201\Methods\Itamar\acid_sample.met"</f>
        <v>C:\TOC3201\Methods\Itamar\acid_sample.met</v>
      </c>
      <c r="F163" t="str">
        <f>"C:\TOC3201\CalCurves\Itamar\C_cal_100ppm_acid_laurel.2019_08_15_10_24_40.cal"</f>
        <v>C:\TOC3201\CalCurves\Itamar\C_cal_100ppm_acid_laurel.2019_08_15_10_24_40.cal</v>
      </c>
      <c r="G163">
        <v>1</v>
      </c>
      <c r="H163" t="str">
        <f>""</f>
        <v/>
      </c>
      <c r="I163" t="str">
        <f>"8/15/2019 7:23:33 PM"</f>
        <v>8/15/2019 7:23:33 PM</v>
      </c>
      <c r="J163" t="str">
        <f>"1"</f>
        <v>1</v>
      </c>
      <c r="K163" t="str">
        <f>"4"</f>
        <v>4</v>
      </c>
      <c r="L163" t="str">
        <f>"NPOC"</f>
        <v>NPOC</v>
      </c>
      <c r="M163" t="str">
        <f>"23.93"</f>
        <v>23.93</v>
      </c>
      <c r="N163" t="str">
        <f>"4.974"</f>
        <v>4.974</v>
      </c>
      <c r="O163" t="str">
        <f>"NPOC:4.676mg/L TN:0.5575mg/L"</f>
        <v>NPOC:4.676mg/L TN:0.5575mg/L</v>
      </c>
      <c r="P163">
        <v>1</v>
      </c>
      <c r="Q163" t="str">
        <f>"80"</f>
        <v>80</v>
      </c>
    </row>
    <row r="164" spans="1:17" x14ac:dyDescent="0.2">
      <c r="A164" t="str">
        <f>"Unknown"</f>
        <v>Unknown</v>
      </c>
      <c r="B164" t="str">
        <f>"NPOC/TN"</f>
        <v>NPOC/TN</v>
      </c>
      <c r="C164" t="str">
        <f>"1065"</f>
        <v>1065</v>
      </c>
      <c r="D164" t="str">
        <f>"11"</f>
        <v>11</v>
      </c>
      <c r="E164" t="str">
        <f>"C:\TOC3201\Methods\Itamar\acid_sample.met"</f>
        <v>C:\TOC3201\Methods\Itamar\acid_sample.met</v>
      </c>
      <c r="F164" t="str">
        <f>"C:\TOC3201\CalCurves\Itamar\C_cal_100ppm_acid_laurel.2019_08_15_10_24_40.cal"</f>
        <v>C:\TOC3201\CalCurves\Itamar\C_cal_100ppm_acid_laurel.2019_08_15_10_24_40.cal</v>
      </c>
      <c r="G164">
        <v>1</v>
      </c>
      <c r="H164" t="str">
        <f>""</f>
        <v/>
      </c>
      <c r="I164" t="str">
        <f>"8/15/2019 7:26:42 PM"</f>
        <v>8/15/2019 7:26:42 PM</v>
      </c>
      <c r="J164" t="str">
        <f>"1"</f>
        <v>1</v>
      </c>
      <c r="K164" t="str">
        <f>"5"</f>
        <v>5</v>
      </c>
      <c r="L164" t="str">
        <f>"NPOC"</f>
        <v>NPOC</v>
      </c>
      <c r="M164" t="str">
        <f>"22.15"</f>
        <v>22.15</v>
      </c>
      <c r="N164" t="str">
        <f>"4.609"</f>
        <v>4.609</v>
      </c>
      <c r="O164" t="str">
        <f>"NPOC:4.676mg/L TN:0.5575mg/L"</f>
        <v>NPOC:4.676mg/L TN:0.5575mg/L</v>
      </c>
      <c r="P164">
        <v>0</v>
      </c>
      <c r="Q164" t="str">
        <f>"80"</f>
        <v>80</v>
      </c>
    </row>
    <row r="165" spans="1:17" x14ac:dyDescent="0.2">
      <c r="A165" t="str">
        <f>"Unknown"</f>
        <v>Unknown</v>
      </c>
      <c r="B165" t="str">
        <f>"NPOC/TN"</f>
        <v>NPOC/TN</v>
      </c>
      <c r="C165" t="str">
        <f>"1065"</f>
        <v>1065</v>
      </c>
      <c r="D165" t="str">
        <f>"11"</f>
        <v>11</v>
      </c>
      <c r="E165" t="str">
        <f>"C:\TOC3201\Methods\Itamar\acid_sample.met"</f>
        <v>C:\TOC3201\Methods\Itamar\acid_sample.met</v>
      </c>
      <c r="F165" t="str">
        <f>"C:\TOC3201\CalCurves\Itamar\N_cal_25ppm_acid_laurel.2019_08_15_12_20_41.cal"</f>
        <v>C:\TOC3201\CalCurves\Itamar\N_cal_25ppm_acid_laurel.2019_08_15_12_20_41.cal</v>
      </c>
      <c r="G165">
        <v>1</v>
      </c>
      <c r="H165" t="str">
        <f>""</f>
        <v/>
      </c>
      <c r="I165" t="str">
        <f>"8/15/2019 7:13:56 PM"</f>
        <v>8/15/2019 7:13:56 PM</v>
      </c>
      <c r="J165" t="str">
        <f>"1"</f>
        <v>1</v>
      </c>
      <c r="K165" t="str">
        <f>"1"</f>
        <v>1</v>
      </c>
      <c r="L165" t="str">
        <f>"TN"</f>
        <v>TN</v>
      </c>
      <c r="M165" t="str">
        <f>"1.543"</f>
        <v>1.543</v>
      </c>
      <c r="N165" t="str">
        <f>"0.5540"</f>
        <v>0.5540</v>
      </c>
      <c r="O165" t="str">
        <f>"NPOC:4.676mg/L TN:0.5575mg/L"</f>
        <v>NPOC:4.676mg/L TN:0.5575mg/L</v>
      </c>
      <c r="P165">
        <v>0</v>
      </c>
      <c r="Q165" t="str">
        <f>"80"</f>
        <v>80</v>
      </c>
    </row>
    <row r="166" spans="1:17" x14ac:dyDescent="0.2">
      <c r="A166" t="str">
        <f>"Unknown"</f>
        <v>Unknown</v>
      </c>
      <c r="B166" t="str">
        <f>"NPOC/TN"</f>
        <v>NPOC/TN</v>
      </c>
      <c r="C166" t="str">
        <f>"1065"</f>
        <v>1065</v>
      </c>
      <c r="D166" t="str">
        <f>"11"</f>
        <v>11</v>
      </c>
      <c r="E166" t="str">
        <f>"C:\TOC3201\Methods\Itamar\acid_sample.met"</f>
        <v>C:\TOC3201\Methods\Itamar\acid_sample.met</v>
      </c>
      <c r="F166" t="str">
        <f>"C:\TOC3201\CalCurves\Itamar\N_cal_25ppm_acid_laurel.2019_08_15_12_20_41.cal"</f>
        <v>C:\TOC3201\CalCurves\Itamar\N_cal_25ppm_acid_laurel.2019_08_15_12_20_41.cal</v>
      </c>
      <c r="G166">
        <v>1</v>
      </c>
      <c r="H166" t="str">
        <f>""</f>
        <v/>
      </c>
      <c r="I166" t="str">
        <f>"8/15/2019 7:17:08 PM"</f>
        <v>8/15/2019 7:17:08 PM</v>
      </c>
      <c r="J166" t="str">
        <f>"1"</f>
        <v>1</v>
      </c>
      <c r="K166" t="str">
        <f>"2"</f>
        <v>2</v>
      </c>
      <c r="L166" t="str">
        <f>"TN"</f>
        <v>TN</v>
      </c>
      <c r="M166" t="str">
        <f>"1.544"</f>
        <v>1.544</v>
      </c>
      <c r="N166" t="str">
        <f>"0.5543"</f>
        <v>0.5543</v>
      </c>
      <c r="O166" t="str">
        <f>"NPOC:4.676mg/L TN:0.5575mg/L"</f>
        <v>NPOC:4.676mg/L TN:0.5575mg/L</v>
      </c>
      <c r="P166">
        <v>0</v>
      </c>
      <c r="Q166" t="str">
        <f>"80"</f>
        <v>80</v>
      </c>
    </row>
    <row r="167" spans="1:17" x14ac:dyDescent="0.2">
      <c r="A167" t="str">
        <f>"Unknown"</f>
        <v>Unknown</v>
      </c>
      <c r="B167" t="str">
        <f>"NPOC/TN"</f>
        <v>NPOC/TN</v>
      </c>
      <c r="C167" t="str">
        <f>"1065"</f>
        <v>1065</v>
      </c>
      <c r="D167" t="str">
        <f>"11"</f>
        <v>11</v>
      </c>
      <c r="E167" t="str">
        <f>"C:\TOC3201\Methods\Itamar\acid_sample.met"</f>
        <v>C:\TOC3201\Methods\Itamar\acid_sample.met</v>
      </c>
      <c r="F167" t="str">
        <f>"C:\TOC3201\CalCurves\Itamar\N_cal_25ppm_acid_laurel.2019_08_15_12_20_41.cal"</f>
        <v>C:\TOC3201\CalCurves\Itamar\N_cal_25ppm_acid_laurel.2019_08_15_12_20_41.cal</v>
      </c>
      <c r="G167">
        <v>1</v>
      </c>
      <c r="H167" t="str">
        <f>""</f>
        <v/>
      </c>
      <c r="I167" t="str">
        <f>"8/15/2019 7:20:17 PM"</f>
        <v>8/15/2019 7:20:17 PM</v>
      </c>
      <c r="J167" t="str">
        <f>"1"</f>
        <v>1</v>
      </c>
      <c r="K167" t="str">
        <f>"3"</f>
        <v>3</v>
      </c>
      <c r="L167" t="str">
        <f>"TN"</f>
        <v>TN</v>
      </c>
      <c r="M167" t="str">
        <f>"1.122"</f>
        <v>1.122</v>
      </c>
      <c r="N167" t="str">
        <f>"0.4468"</f>
        <v>0.4468</v>
      </c>
      <c r="O167" t="str">
        <f>"NPOC:4.676mg/L TN:0.5575mg/L"</f>
        <v>NPOC:4.676mg/L TN:0.5575mg/L</v>
      </c>
      <c r="P167">
        <v>1</v>
      </c>
      <c r="Q167" t="str">
        <f>"80"</f>
        <v>80</v>
      </c>
    </row>
    <row r="168" spans="1:17" x14ac:dyDescent="0.2">
      <c r="A168" t="str">
        <f>"Unknown"</f>
        <v>Unknown</v>
      </c>
      <c r="B168" t="str">
        <f>"NPOC/TN"</f>
        <v>NPOC/TN</v>
      </c>
      <c r="C168" t="str">
        <f>"1065"</f>
        <v>1065</v>
      </c>
      <c r="D168" t="str">
        <f>"11"</f>
        <v>11</v>
      </c>
      <c r="E168" t="str">
        <f>"C:\TOC3201\Methods\Itamar\acid_sample.met"</f>
        <v>C:\TOC3201\Methods\Itamar\acid_sample.met</v>
      </c>
      <c r="F168" t="str">
        <f>"C:\TOC3201\CalCurves\Itamar\N_cal_25ppm_acid_laurel.2019_08_15_12_20_41.cal"</f>
        <v>C:\TOC3201\CalCurves\Itamar\N_cal_25ppm_acid_laurel.2019_08_15_12_20_41.cal</v>
      </c>
      <c r="G168">
        <v>1</v>
      </c>
      <c r="H168" t="str">
        <f>""</f>
        <v/>
      </c>
      <c r="I168" t="str">
        <f>"8/15/2019 7:23:33 PM"</f>
        <v>8/15/2019 7:23:33 PM</v>
      </c>
      <c r="J168" t="str">
        <f>"1"</f>
        <v>1</v>
      </c>
      <c r="K168" t="str">
        <f>"4"</f>
        <v>4</v>
      </c>
      <c r="L168" t="str">
        <f>"TN"</f>
        <v>TN</v>
      </c>
      <c r="M168" t="str">
        <f>"1.583"</f>
        <v>1.583</v>
      </c>
      <c r="N168" t="str">
        <f>"0.5642"</f>
        <v>0.5642</v>
      </c>
      <c r="O168" t="str">
        <f>"NPOC:4.676mg/L TN:0.5575mg/L"</f>
        <v>NPOC:4.676mg/L TN:0.5575mg/L</v>
      </c>
      <c r="P168">
        <v>0</v>
      </c>
      <c r="Q168" t="str">
        <f>"80"</f>
        <v>80</v>
      </c>
    </row>
    <row r="169" spans="1:17" x14ac:dyDescent="0.2">
      <c r="A169" t="str">
        <f>"Unknown"</f>
        <v>Unknown</v>
      </c>
      <c r="B169" t="str">
        <f>"NPOC/TN"</f>
        <v>NPOC/TN</v>
      </c>
      <c r="C169" t="str">
        <f>"1067"</f>
        <v>1067</v>
      </c>
      <c r="D169" t="str">
        <f>"12"</f>
        <v>12</v>
      </c>
      <c r="E169" t="str">
        <f>"C:\TOC3201\Methods\Itamar\acid_sample.met"</f>
        <v>C:\TOC3201\Methods\Itamar\acid_sample.met</v>
      </c>
      <c r="F169" t="str">
        <f>"C:\TOC3201\CalCurves\Itamar\C_cal_100ppm_acid_laurel.2019_08_15_10_24_40.cal"</f>
        <v>C:\TOC3201\CalCurves\Itamar\C_cal_100ppm_acid_laurel.2019_08_15_10_24_40.cal</v>
      </c>
      <c r="G169">
        <v>1</v>
      </c>
      <c r="H169" t="str">
        <f>""</f>
        <v/>
      </c>
      <c r="I169" t="str">
        <f>"8/15/2019 7:36:21 PM"</f>
        <v>8/15/2019 7:36:21 PM</v>
      </c>
      <c r="J169" t="str">
        <f>"1"</f>
        <v>1</v>
      </c>
      <c r="K169" t="str">
        <f>"1"</f>
        <v>1</v>
      </c>
      <c r="L169" t="str">
        <f>"NPOC"</f>
        <v>NPOC</v>
      </c>
      <c r="M169" t="str">
        <f>"23.28"</f>
        <v>23.28</v>
      </c>
      <c r="N169" t="str">
        <f>"4.841"</f>
        <v>4.841</v>
      </c>
      <c r="O169" t="str">
        <f>"NPOC:4.949mg/L TN:0.6306mg/L"</f>
        <v>NPOC:4.949mg/L TN:0.6306mg/L</v>
      </c>
      <c r="P169">
        <v>0</v>
      </c>
      <c r="Q169" t="str">
        <f>"80"</f>
        <v>80</v>
      </c>
    </row>
    <row r="170" spans="1:17" x14ac:dyDescent="0.2">
      <c r="A170" t="str">
        <f>"Unknown"</f>
        <v>Unknown</v>
      </c>
      <c r="B170" t="str">
        <f>"NPOC/TN"</f>
        <v>NPOC/TN</v>
      </c>
      <c r="C170" t="str">
        <f>"1067"</f>
        <v>1067</v>
      </c>
      <c r="D170" t="str">
        <f>"12"</f>
        <v>12</v>
      </c>
      <c r="E170" t="str">
        <f>"C:\TOC3201\Methods\Itamar\acid_sample.met"</f>
        <v>C:\TOC3201\Methods\Itamar\acid_sample.met</v>
      </c>
      <c r="F170" t="str">
        <f>"C:\TOC3201\CalCurves\Itamar\C_cal_100ppm_acid_laurel.2019_08_15_10_24_40.cal"</f>
        <v>C:\TOC3201\CalCurves\Itamar\C_cal_100ppm_acid_laurel.2019_08_15_10_24_40.cal</v>
      </c>
      <c r="G170">
        <v>1</v>
      </c>
      <c r="H170" t="str">
        <f>""</f>
        <v/>
      </c>
      <c r="I170" t="str">
        <f>"8/15/2019 7:39:28 PM"</f>
        <v>8/15/2019 7:39:28 PM</v>
      </c>
      <c r="J170" t="str">
        <f>"1"</f>
        <v>1</v>
      </c>
      <c r="K170" t="str">
        <f>"2"</f>
        <v>2</v>
      </c>
      <c r="L170" t="str">
        <f>"NPOC"</f>
        <v>NPOC</v>
      </c>
      <c r="M170" t="str">
        <f>"23.01"</f>
        <v>23.01</v>
      </c>
      <c r="N170" t="str">
        <f>"4.785"</f>
        <v>4.785</v>
      </c>
      <c r="O170" t="str">
        <f>"NPOC:4.949mg/L TN:0.6306mg/L"</f>
        <v>NPOC:4.949mg/L TN:0.6306mg/L</v>
      </c>
      <c r="P170">
        <v>1</v>
      </c>
      <c r="Q170" t="str">
        <f>"80"</f>
        <v>80</v>
      </c>
    </row>
    <row r="171" spans="1:17" x14ac:dyDescent="0.2">
      <c r="A171" t="str">
        <f>"Unknown"</f>
        <v>Unknown</v>
      </c>
      <c r="B171" t="str">
        <f>"NPOC/TN"</f>
        <v>NPOC/TN</v>
      </c>
      <c r="C171" t="str">
        <f>"1067"</f>
        <v>1067</v>
      </c>
      <c r="D171" t="str">
        <f>"12"</f>
        <v>12</v>
      </c>
      <c r="E171" t="str">
        <f>"C:\TOC3201\Methods\Itamar\acid_sample.met"</f>
        <v>C:\TOC3201\Methods\Itamar\acid_sample.met</v>
      </c>
      <c r="F171" t="str">
        <f>"C:\TOC3201\CalCurves\Itamar\C_cal_100ppm_acid_laurel.2019_08_15_10_24_40.cal"</f>
        <v>C:\TOC3201\CalCurves\Itamar\C_cal_100ppm_acid_laurel.2019_08_15_10_24_40.cal</v>
      </c>
      <c r="G171">
        <v>1</v>
      </c>
      <c r="H171" t="str">
        <f>""</f>
        <v/>
      </c>
      <c r="I171" t="str">
        <f>"8/15/2019 7:42:34 PM"</f>
        <v>8/15/2019 7:42:34 PM</v>
      </c>
      <c r="J171" t="str">
        <f>"1"</f>
        <v>1</v>
      </c>
      <c r="K171" t="str">
        <f>"3"</f>
        <v>3</v>
      </c>
      <c r="L171" t="str">
        <f>"NPOC"</f>
        <v>NPOC</v>
      </c>
      <c r="M171" t="str">
        <f>"24.07"</f>
        <v>24.07</v>
      </c>
      <c r="N171" t="str">
        <f>"5.003"</f>
        <v>5.003</v>
      </c>
      <c r="O171" t="str">
        <f>"NPOC:4.949mg/L TN:0.6306mg/L"</f>
        <v>NPOC:4.949mg/L TN:0.6306mg/L</v>
      </c>
      <c r="P171">
        <v>0</v>
      </c>
      <c r="Q171" t="str">
        <f>"80"</f>
        <v>80</v>
      </c>
    </row>
    <row r="172" spans="1:17" x14ac:dyDescent="0.2">
      <c r="A172" t="str">
        <f>"Unknown"</f>
        <v>Unknown</v>
      </c>
      <c r="B172" t="str">
        <f>"NPOC/TN"</f>
        <v>NPOC/TN</v>
      </c>
      <c r="C172" t="str">
        <f>"1067"</f>
        <v>1067</v>
      </c>
      <c r="D172" t="str">
        <f>"12"</f>
        <v>12</v>
      </c>
      <c r="E172" t="str">
        <f>"C:\TOC3201\Methods\Itamar\acid_sample.met"</f>
        <v>C:\TOC3201\Methods\Itamar\acid_sample.met</v>
      </c>
      <c r="F172" t="str">
        <f>"C:\TOC3201\CalCurves\Itamar\C_cal_100ppm_acid_laurel.2019_08_15_10_24_40.cal"</f>
        <v>C:\TOC3201\CalCurves\Itamar\C_cal_100ppm_acid_laurel.2019_08_15_10_24_40.cal</v>
      </c>
      <c r="G172">
        <v>1</v>
      </c>
      <c r="H172" t="str">
        <f>""</f>
        <v/>
      </c>
      <c r="I172" t="str">
        <f>"8/15/2019 7:45:47 PM"</f>
        <v>8/15/2019 7:45:47 PM</v>
      </c>
      <c r="J172" t="str">
        <f>"1"</f>
        <v>1</v>
      </c>
      <c r="K172" t="str">
        <f>"4"</f>
        <v>4</v>
      </c>
      <c r="L172" t="str">
        <f>"NPOC"</f>
        <v>NPOC</v>
      </c>
      <c r="M172" t="str">
        <f>"24.07"</f>
        <v>24.07</v>
      </c>
      <c r="N172" t="str">
        <f>"5.003"</f>
        <v>5.003</v>
      </c>
      <c r="O172" t="str">
        <f>"NPOC:4.949mg/L TN:0.6306mg/L"</f>
        <v>NPOC:4.949mg/L TN:0.6306mg/L</v>
      </c>
      <c r="P172">
        <v>0</v>
      </c>
      <c r="Q172" t="str">
        <f>"80"</f>
        <v>80</v>
      </c>
    </row>
    <row r="173" spans="1:17" x14ac:dyDescent="0.2">
      <c r="A173" t="str">
        <f>"Unknown"</f>
        <v>Unknown</v>
      </c>
      <c r="B173" t="str">
        <f>"NPOC/TN"</f>
        <v>NPOC/TN</v>
      </c>
      <c r="C173" t="str">
        <f>"1067"</f>
        <v>1067</v>
      </c>
      <c r="D173" t="str">
        <f>"12"</f>
        <v>12</v>
      </c>
      <c r="E173" t="str">
        <f>"C:\TOC3201\Methods\Itamar\acid_sample.met"</f>
        <v>C:\TOC3201\Methods\Itamar\acid_sample.met</v>
      </c>
      <c r="F173" t="str">
        <f>"C:\TOC3201\CalCurves\Itamar\N_cal_25ppm_acid_laurel.2019_08_15_12_20_41.cal"</f>
        <v>C:\TOC3201\CalCurves\Itamar\N_cal_25ppm_acid_laurel.2019_08_15_12_20_41.cal</v>
      </c>
      <c r="G173">
        <v>1</v>
      </c>
      <c r="H173" t="str">
        <f>""</f>
        <v/>
      </c>
      <c r="I173" t="str">
        <f>"8/15/2019 7:36:21 PM"</f>
        <v>8/15/2019 7:36:21 PM</v>
      </c>
      <c r="J173" t="str">
        <f>"1"</f>
        <v>1</v>
      </c>
      <c r="K173" t="str">
        <f>"1"</f>
        <v>1</v>
      </c>
      <c r="L173" t="str">
        <f>"TN"</f>
        <v>TN</v>
      </c>
      <c r="M173" t="str">
        <f>"1.772"</f>
        <v>1.772</v>
      </c>
      <c r="N173" t="str">
        <f>"0.6124"</f>
        <v>0.6124</v>
      </c>
      <c r="O173" t="str">
        <f>"NPOC:4.949mg/L TN:0.6306mg/L"</f>
        <v>NPOC:4.949mg/L TN:0.6306mg/L</v>
      </c>
      <c r="P173">
        <v>0</v>
      </c>
      <c r="Q173" t="str">
        <f>"80"</f>
        <v>80</v>
      </c>
    </row>
    <row r="174" spans="1:17" x14ac:dyDescent="0.2">
      <c r="A174" t="str">
        <f>"Unknown"</f>
        <v>Unknown</v>
      </c>
      <c r="B174" t="str">
        <f>"NPOC/TN"</f>
        <v>NPOC/TN</v>
      </c>
      <c r="C174" t="str">
        <f>"1067"</f>
        <v>1067</v>
      </c>
      <c r="D174" t="str">
        <f>"12"</f>
        <v>12</v>
      </c>
      <c r="E174" t="str">
        <f>"C:\TOC3201\Methods\Itamar\acid_sample.met"</f>
        <v>C:\TOC3201\Methods\Itamar\acid_sample.met</v>
      </c>
      <c r="F174" t="str">
        <f>"C:\TOC3201\CalCurves\Itamar\N_cal_25ppm_acid_laurel.2019_08_15_12_20_41.cal"</f>
        <v>C:\TOC3201\CalCurves\Itamar\N_cal_25ppm_acid_laurel.2019_08_15_12_20_41.cal</v>
      </c>
      <c r="G174">
        <v>1</v>
      </c>
      <c r="H174" t="str">
        <f>""</f>
        <v/>
      </c>
      <c r="I174" t="str">
        <f>"8/15/2019 7:39:28 PM"</f>
        <v>8/15/2019 7:39:28 PM</v>
      </c>
      <c r="J174" t="str">
        <f>"1"</f>
        <v>1</v>
      </c>
      <c r="K174" t="str">
        <f>"2"</f>
        <v>2</v>
      </c>
      <c r="L174" t="str">
        <f>"TN"</f>
        <v>TN</v>
      </c>
      <c r="M174" t="str">
        <f>"1.853"</f>
        <v>1.853</v>
      </c>
      <c r="N174" t="str">
        <f>"0.6330"</f>
        <v>0.6330</v>
      </c>
      <c r="O174" t="str">
        <f>"NPOC:4.949mg/L TN:0.6306mg/L"</f>
        <v>NPOC:4.949mg/L TN:0.6306mg/L</v>
      </c>
      <c r="P174">
        <v>0</v>
      </c>
      <c r="Q174" t="str">
        <f>"80"</f>
        <v>80</v>
      </c>
    </row>
    <row r="175" spans="1:17" x14ac:dyDescent="0.2">
      <c r="A175" t="str">
        <f>"Unknown"</f>
        <v>Unknown</v>
      </c>
      <c r="B175" t="str">
        <f>"NPOC/TN"</f>
        <v>NPOC/TN</v>
      </c>
      <c r="C175" t="str">
        <f>"1067"</f>
        <v>1067</v>
      </c>
      <c r="D175" t="str">
        <f>"12"</f>
        <v>12</v>
      </c>
      <c r="E175" t="str">
        <f>"C:\TOC3201\Methods\Itamar\acid_sample.met"</f>
        <v>C:\TOC3201\Methods\Itamar\acid_sample.met</v>
      </c>
      <c r="F175" t="str">
        <f>"C:\TOC3201\CalCurves\Itamar\N_cal_25ppm_acid_laurel.2019_08_15_12_20_41.cal"</f>
        <v>C:\TOC3201\CalCurves\Itamar\N_cal_25ppm_acid_laurel.2019_08_15_12_20_41.cal</v>
      </c>
      <c r="G175">
        <v>1</v>
      </c>
      <c r="H175" t="str">
        <f>""</f>
        <v/>
      </c>
      <c r="I175" t="str">
        <f>"8/15/2019 7:42:34 PM"</f>
        <v>8/15/2019 7:42:34 PM</v>
      </c>
      <c r="J175" t="str">
        <f>"1"</f>
        <v>1</v>
      </c>
      <c r="K175" t="str">
        <f>"3"</f>
        <v>3</v>
      </c>
      <c r="L175" t="str">
        <f>"TN"</f>
        <v>TN</v>
      </c>
      <c r="M175" t="str">
        <f>"1.905"</f>
        <v>1.905</v>
      </c>
      <c r="N175" t="str">
        <f>"0.6463"</f>
        <v>0.6463</v>
      </c>
      <c r="O175" t="str">
        <f>"NPOC:4.949mg/L TN:0.6306mg/L"</f>
        <v>NPOC:4.949mg/L TN:0.6306mg/L</v>
      </c>
      <c r="P175">
        <v>0</v>
      </c>
      <c r="Q175" t="str">
        <f>"80"</f>
        <v>80</v>
      </c>
    </row>
    <row r="176" spans="1:17" x14ac:dyDescent="0.2">
      <c r="A176" t="str">
        <f>"Unknown"</f>
        <v>Unknown</v>
      </c>
      <c r="B176" t="str">
        <f>"NPOC/TN"</f>
        <v>NPOC/TN</v>
      </c>
      <c r="C176" t="str">
        <f>"1069"</f>
        <v>1069</v>
      </c>
      <c r="D176" t="str">
        <f>"13"</f>
        <v>13</v>
      </c>
      <c r="E176" t="str">
        <f>"C:\TOC3201\Methods\Itamar\acid_sample.met"</f>
        <v>C:\TOC3201\Methods\Itamar\acid_sample.met</v>
      </c>
      <c r="F176" t="str">
        <f>"C:\TOC3201\CalCurves\Itamar\C_cal_100ppm_acid_laurel.2019_08_15_10_24_40.cal"</f>
        <v>C:\TOC3201\CalCurves\Itamar\C_cal_100ppm_acid_laurel.2019_08_15_10_24_40.cal</v>
      </c>
      <c r="G176">
        <v>1</v>
      </c>
      <c r="H176" t="str">
        <f>""</f>
        <v/>
      </c>
      <c r="I176" t="str">
        <f>"8/15/2019 7:56:03 PM"</f>
        <v>8/15/2019 7:56:03 PM</v>
      </c>
      <c r="J176" t="str">
        <f>"1"</f>
        <v>1</v>
      </c>
      <c r="K176" t="str">
        <f>"1"</f>
        <v>1</v>
      </c>
      <c r="L176" t="str">
        <f>"NPOC"</f>
        <v>NPOC</v>
      </c>
      <c r="M176" t="str">
        <f>"78.73"</f>
        <v>78.73</v>
      </c>
      <c r="N176" t="str">
        <f>"16.23"</f>
        <v>16.23</v>
      </c>
      <c r="O176" t="str">
        <f>"NPOC:16.56mg/L TN:0.8694mg/L"</f>
        <v>NPOC:16.56mg/L TN:0.8694mg/L</v>
      </c>
      <c r="P176">
        <v>0</v>
      </c>
      <c r="Q176" t="str">
        <f>"80"</f>
        <v>80</v>
      </c>
    </row>
    <row r="177" spans="1:17" x14ac:dyDescent="0.2">
      <c r="A177" t="str">
        <f>"Unknown"</f>
        <v>Unknown</v>
      </c>
      <c r="B177" t="str">
        <f>"NPOC/TN"</f>
        <v>NPOC/TN</v>
      </c>
      <c r="C177" t="str">
        <f>"1069"</f>
        <v>1069</v>
      </c>
      <c r="D177" t="str">
        <f>"13"</f>
        <v>13</v>
      </c>
      <c r="E177" t="str">
        <f>"C:\TOC3201\Methods\Itamar\acid_sample.met"</f>
        <v>C:\TOC3201\Methods\Itamar\acid_sample.met</v>
      </c>
      <c r="F177" t="str">
        <f>"C:\TOC3201\CalCurves\Itamar\C_cal_100ppm_acid_laurel.2019_08_15_10_24_40.cal"</f>
        <v>C:\TOC3201\CalCurves\Itamar\C_cal_100ppm_acid_laurel.2019_08_15_10_24_40.cal</v>
      </c>
      <c r="G177">
        <v>1</v>
      </c>
      <c r="H177" t="str">
        <f>""</f>
        <v/>
      </c>
      <c r="I177" t="str">
        <f>"8/15/2019 7:59:39 PM"</f>
        <v>8/15/2019 7:59:39 PM</v>
      </c>
      <c r="J177" t="str">
        <f>"1"</f>
        <v>1</v>
      </c>
      <c r="K177" t="str">
        <f>"2"</f>
        <v>2</v>
      </c>
      <c r="L177" t="str">
        <f>"NPOC"</f>
        <v>NPOC</v>
      </c>
      <c r="M177" t="str">
        <f>"76.20"</f>
        <v>76.20</v>
      </c>
      <c r="N177" t="str">
        <f>"15.71"</f>
        <v>15.71</v>
      </c>
      <c r="O177" t="str">
        <f>"NPOC:16.56mg/L TN:0.8694mg/L"</f>
        <v>NPOC:16.56mg/L TN:0.8694mg/L</v>
      </c>
      <c r="P177">
        <v>1</v>
      </c>
      <c r="Q177" t="str">
        <f>"80"</f>
        <v>80</v>
      </c>
    </row>
    <row r="178" spans="1:17" x14ac:dyDescent="0.2">
      <c r="A178" t="str">
        <f>"Unknown"</f>
        <v>Unknown</v>
      </c>
      <c r="B178" t="str">
        <f>"NPOC/TN"</f>
        <v>NPOC/TN</v>
      </c>
      <c r="C178" t="str">
        <f>"1069"</f>
        <v>1069</v>
      </c>
      <c r="D178" t="str">
        <f>"13"</f>
        <v>13</v>
      </c>
      <c r="E178" t="str">
        <f>"C:\TOC3201\Methods\Itamar\acid_sample.met"</f>
        <v>C:\TOC3201\Methods\Itamar\acid_sample.met</v>
      </c>
      <c r="F178" t="str">
        <f>"C:\TOC3201\CalCurves\Itamar\C_cal_100ppm_acid_laurel.2019_08_15_10_24_40.cal"</f>
        <v>C:\TOC3201\CalCurves\Itamar\C_cal_100ppm_acid_laurel.2019_08_15_10_24_40.cal</v>
      </c>
      <c r="G178">
        <v>1</v>
      </c>
      <c r="H178" t="str">
        <f>""</f>
        <v/>
      </c>
      <c r="I178" t="str">
        <f>"8/15/2019 8:03:19 PM"</f>
        <v>8/15/2019 8:03:19 PM</v>
      </c>
      <c r="J178" t="str">
        <f>"1"</f>
        <v>1</v>
      </c>
      <c r="K178" t="str">
        <f>"3"</f>
        <v>3</v>
      </c>
      <c r="L178" t="str">
        <f>"NPOC"</f>
        <v>NPOC</v>
      </c>
      <c r="M178" t="str">
        <f>"81.31"</f>
        <v>81.31</v>
      </c>
      <c r="N178" t="str">
        <f>"16.76"</f>
        <v>16.76</v>
      </c>
      <c r="O178" t="str">
        <f>"NPOC:16.56mg/L TN:0.8694mg/L"</f>
        <v>NPOC:16.56mg/L TN:0.8694mg/L</v>
      </c>
      <c r="P178">
        <v>0</v>
      </c>
      <c r="Q178" t="str">
        <f>"80"</f>
        <v>80</v>
      </c>
    </row>
    <row r="179" spans="1:17" x14ac:dyDescent="0.2">
      <c r="A179" t="str">
        <f>"Unknown"</f>
        <v>Unknown</v>
      </c>
      <c r="B179" t="str">
        <f>"NPOC/TN"</f>
        <v>NPOC/TN</v>
      </c>
      <c r="C179" t="str">
        <f>"1069"</f>
        <v>1069</v>
      </c>
      <c r="D179" t="str">
        <f>"13"</f>
        <v>13</v>
      </c>
      <c r="E179" t="str">
        <f>"C:\TOC3201\Methods\Itamar\acid_sample.met"</f>
        <v>C:\TOC3201\Methods\Itamar\acid_sample.met</v>
      </c>
      <c r="F179" t="str">
        <f>"C:\TOC3201\CalCurves\Itamar\C_cal_100ppm_acid_laurel.2019_08_15_10_24_40.cal"</f>
        <v>C:\TOC3201\CalCurves\Itamar\C_cal_100ppm_acid_laurel.2019_08_15_10_24_40.cal</v>
      </c>
      <c r="G179">
        <v>1</v>
      </c>
      <c r="H179" t="str">
        <f>""</f>
        <v/>
      </c>
      <c r="I179" t="str">
        <f>"8/15/2019 8:07:02 PM"</f>
        <v>8/15/2019 8:07:02 PM</v>
      </c>
      <c r="J179" t="str">
        <f>"1"</f>
        <v>1</v>
      </c>
      <c r="K179" t="str">
        <f>"4"</f>
        <v>4</v>
      </c>
      <c r="L179" t="str">
        <f>"NPOC"</f>
        <v>NPOC</v>
      </c>
      <c r="M179" t="str">
        <f>"81.06"</f>
        <v>81.06</v>
      </c>
      <c r="N179" t="str">
        <f>"16.71"</f>
        <v>16.71</v>
      </c>
      <c r="O179" t="str">
        <f>"NPOC:16.56mg/L TN:0.8694mg/L"</f>
        <v>NPOC:16.56mg/L TN:0.8694mg/L</v>
      </c>
      <c r="P179">
        <v>0</v>
      </c>
      <c r="Q179" t="str">
        <f>"80"</f>
        <v>80</v>
      </c>
    </row>
    <row r="180" spans="1:17" x14ac:dyDescent="0.2">
      <c r="A180" t="str">
        <f>"Unknown"</f>
        <v>Unknown</v>
      </c>
      <c r="B180" t="str">
        <f>"NPOC/TN"</f>
        <v>NPOC/TN</v>
      </c>
      <c r="C180" t="str">
        <f>"1069"</f>
        <v>1069</v>
      </c>
      <c r="D180" t="str">
        <f>"13"</f>
        <v>13</v>
      </c>
      <c r="E180" t="str">
        <f>"C:\TOC3201\Methods\Itamar\acid_sample.met"</f>
        <v>C:\TOC3201\Methods\Itamar\acid_sample.met</v>
      </c>
      <c r="F180" t="str">
        <f>"C:\TOC3201\CalCurves\Itamar\N_cal_25ppm_acid_laurel.2019_08_15_12_20_41.cal"</f>
        <v>C:\TOC3201\CalCurves\Itamar\N_cal_25ppm_acid_laurel.2019_08_15_12_20_41.cal</v>
      </c>
      <c r="G180">
        <v>1</v>
      </c>
      <c r="H180" t="str">
        <f>""</f>
        <v/>
      </c>
      <c r="I180" t="str">
        <f>"8/15/2019 7:56:03 PM"</f>
        <v>8/15/2019 7:56:03 PM</v>
      </c>
      <c r="J180" t="str">
        <f>"1"</f>
        <v>1</v>
      </c>
      <c r="K180" t="str">
        <f>"1"</f>
        <v>1</v>
      </c>
      <c r="L180" t="str">
        <f>"TN"</f>
        <v>TN</v>
      </c>
      <c r="M180" t="str">
        <f>"2.770"</f>
        <v>2.770</v>
      </c>
      <c r="N180" t="str">
        <f>"0.8667"</f>
        <v>0.8667</v>
      </c>
      <c r="O180" t="str">
        <f>"NPOC:16.56mg/L TN:0.8694mg/L"</f>
        <v>NPOC:16.56mg/L TN:0.8694mg/L</v>
      </c>
      <c r="P180">
        <v>0</v>
      </c>
      <c r="Q180" t="str">
        <f>"80"</f>
        <v>80</v>
      </c>
    </row>
    <row r="181" spans="1:17" x14ac:dyDescent="0.2">
      <c r="A181" t="str">
        <f>"Unknown"</f>
        <v>Unknown</v>
      </c>
      <c r="B181" t="str">
        <f>"NPOC/TN"</f>
        <v>NPOC/TN</v>
      </c>
      <c r="C181" t="str">
        <f>"1069"</f>
        <v>1069</v>
      </c>
      <c r="D181" t="str">
        <f>"13"</f>
        <v>13</v>
      </c>
      <c r="E181" t="str">
        <f>"C:\TOC3201\Methods\Itamar\acid_sample.met"</f>
        <v>C:\TOC3201\Methods\Itamar\acid_sample.met</v>
      </c>
      <c r="F181" t="str">
        <f>"C:\TOC3201\CalCurves\Itamar\N_cal_25ppm_acid_laurel.2019_08_15_12_20_41.cal"</f>
        <v>C:\TOC3201\CalCurves\Itamar\N_cal_25ppm_acid_laurel.2019_08_15_12_20_41.cal</v>
      </c>
      <c r="G181">
        <v>1</v>
      </c>
      <c r="H181" t="str">
        <f>""</f>
        <v/>
      </c>
      <c r="I181" t="str">
        <f>"8/15/2019 7:59:39 PM"</f>
        <v>8/15/2019 7:59:39 PM</v>
      </c>
      <c r="J181" t="str">
        <f>"1"</f>
        <v>1</v>
      </c>
      <c r="K181" t="str">
        <f>"2"</f>
        <v>2</v>
      </c>
      <c r="L181" t="str">
        <f>"TN"</f>
        <v>TN</v>
      </c>
      <c r="M181" t="str">
        <f>"2.784"</f>
        <v>2.784</v>
      </c>
      <c r="N181" t="str">
        <f>"0.8703"</f>
        <v>0.8703</v>
      </c>
      <c r="O181" t="str">
        <f>"NPOC:16.56mg/L TN:0.8694mg/L"</f>
        <v>NPOC:16.56mg/L TN:0.8694mg/L</v>
      </c>
      <c r="P181">
        <v>0</v>
      </c>
      <c r="Q181" t="str">
        <f>"80"</f>
        <v>80</v>
      </c>
    </row>
    <row r="182" spans="1:17" x14ac:dyDescent="0.2">
      <c r="A182" t="str">
        <f>"Unknown"</f>
        <v>Unknown</v>
      </c>
      <c r="B182" t="str">
        <f>"NPOC/TN"</f>
        <v>NPOC/TN</v>
      </c>
      <c r="C182" t="str">
        <f>"1069"</f>
        <v>1069</v>
      </c>
      <c r="D182" t="str">
        <f>"13"</f>
        <v>13</v>
      </c>
      <c r="E182" t="str">
        <f>"C:\TOC3201\Methods\Itamar\acid_sample.met"</f>
        <v>C:\TOC3201\Methods\Itamar\acid_sample.met</v>
      </c>
      <c r="F182" t="str">
        <f>"C:\TOC3201\CalCurves\Itamar\N_cal_25ppm_acid_laurel.2019_08_15_12_20_41.cal"</f>
        <v>C:\TOC3201\CalCurves\Itamar\N_cal_25ppm_acid_laurel.2019_08_15_12_20_41.cal</v>
      </c>
      <c r="G182">
        <v>1</v>
      </c>
      <c r="H182" t="str">
        <f>""</f>
        <v/>
      </c>
      <c r="I182" t="str">
        <f>"8/15/2019 8:03:19 PM"</f>
        <v>8/15/2019 8:03:19 PM</v>
      </c>
      <c r="J182" t="str">
        <f>"1"</f>
        <v>1</v>
      </c>
      <c r="K182" t="str">
        <f>"3"</f>
        <v>3</v>
      </c>
      <c r="L182" t="str">
        <f>"TN"</f>
        <v>TN</v>
      </c>
      <c r="M182" t="str">
        <f>"2.788"</f>
        <v>2.788</v>
      </c>
      <c r="N182" t="str">
        <f>"0.8713"</f>
        <v>0.8713</v>
      </c>
      <c r="O182" t="str">
        <f>"NPOC:16.56mg/L TN:0.8694mg/L"</f>
        <v>NPOC:16.56mg/L TN:0.8694mg/L</v>
      </c>
      <c r="P182">
        <v>0</v>
      </c>
      <c r="Q182" t="str">
        <f>"80"</f>
        <v>80</v>
      </c>
    </row>
    <row r="183" spans="1:17" x14ac:dyDescent="0.2">
      <c r="A183" t="str">
        <f>"Unknown"</f>
        <v>Unknown</v>
      </c>
      <c r="B183" t="str">
        <f>"NPOC/TN"</f>
        <v>NPOC/TN</v>
      </c>
      <c r="C183" t="str">
        <f>"1071"</f>
        <v>1071</v>
      </c>
      <c r="D183" t="str">
        <f>"14"</f>
        <v>14</v>
      </c>
      <c r="E183" t="str">
        <f>"C:\TOC3201\Methods\Itamar\acid_sample.met"</f>
        <v>C:\TOC3201\Methods\Itamar\acid_sample.met</v>
      </c>
      <c r="F183" t="str">
        <f>"C:\TOC3201\CalCurves\Itamar\C_cal_100ppm_acid_laurel.2019_08_15_10_24_40.cal"</f>
        <v>C:\TOC3201\CalCurves\Itamar\C_cal_100ppm_acid_laurel.2019_08_15_10_24_40.cal</v>
      </c>
      <c r="G183">
        <v>1</v>
      </c>
      <c r="H183" t="str">
        <f>""</f>
        <v/>
      </c>
      <c r="I183" t="str">
        <f>"8/15/2019 8:17:17 PM"</f>
        <v>8/15/2019 8:17:17 PM</v>
      </c>
      <c r="J183" t="str">
        <f>"1"</f>
        <v>1</v>
      </c>
      <c r="K183" t="str">
        <f>"1"</f>
        <v>1</v>
      </c>
      <c r="L183" t="str">
        <f>"NPOC"</f>
        <v>NPOC</v>
      </c>
      <c r="M183" t="str">
        <f>"83.90"</f>
        <v>83.90</v>
      </c>
      <c r="N183" t="str">
        <f>"17.29"</f>
        <v>17.29</v>
      </c>
      <c r="O183" t="str">
        <f>"NPOC:17.59mg/L TN:0.9951mg/L"</f>
        <v>NPOC:17.59mg/L TN:0.9951mg/L</v>
      </c>
      <c r="P183">
        <v>0</v>
      </c>
      <c r="Q183" t="str">
        <f>"80"</f>
        <v>80</v>
      </c>
    </row>
    <row r="184" spans="1:17" x14ac:dyDescent="0.2">
      <c r="A184" t="str">
        <f>"Unknown"</f>
        <v>Unknown</v>
      </c>
      <c r="B184" t="str">
        <f>"NPOC/TN"</f>
        <v>NPOC/TN</v>
      </c>
      <c r="C184" t="str">
        <f>"1071"</f>
        <v>1071</v>
      </c>
      <c r="D184" t="str">
        <f>"14"</f>
        <v>14</v>
      </c>
      <c r="E184" t="str">
        <f>"C:\TOC3201\Methods\Itamar\acid_sample.met"</f>
        <v>C:\TOC3201\Methods\Itamar\acid_sample.met</v>
      </c>
      <c r="F184" t="str">
        <f>"C:\TOC3201\CalCurves\Itamar\C_cal_100ppm_acid_laurel.2019_08_15_10_24_40.cal"</f>
        <v>C:\TOC3201\CalCurves\Itamar\C_cal_100ppm_acid_laurel.2019_08_15_10_24_40.cal</v>
      </c>
      <c r="G184">
        <v>1</v>
      </c>
      <c r="H184" t="str">
        <f>""</f>
        <v/>
      </c>
      <c r="I184" t="str">
        <f>"8/15/2019 8:21:00 PM"</f>
        <v>8/15/2019 8:21:00 PM</v>
      </c>
      <c r="J184" t="str">
        <f>"1"</f>
        <v>1</v>
      </c>
      <c r="K184" t="str">
        <f>"2"</f>
        <v>2</v>
      </c>
      <c r="L184" t="str">
        <f>"NPOC"</f>
        <v>NPOC</v>
      </c>
      <c r="M184" t="str">
        <f>"81.50"</f>
        <v>81.50</v>
      </c>
      <c r="N184" t="str">
        <f>"16.80"</f>
        <v>16.80</v>
      </c>
      <c r="O184" t="str">
        <f>"NPOC:17.59mg/L TN:0.9951mg/L"</f>
        <v>NPOC:17.59mg/L TN:0.9951mg/L</v>
      </c>
      <c r="P184">
        <v>1</v>
      </c>
      <c r="Q184" t="str">
        <f>"80"</f>
        <v>80</v>
      </c>
    </row>
    <row r="185" spans="1:17" x14ac:dyDescent="0.2">
      <c r="A185" t="str">
        <f>"Unknown"</f>
        <v>Unknown</v>
      </c>
      <c r="B185" t="str">
        <f>"NPOC/TN"</f>
        <v>NPOC/TN</v>
      </c>
      <c r="C185" t="str">
        <f>"1071"</f>
        <v>1071</v>
      </c>
      <c r="D185" t="str">
        <f>"14"</f>
        <v>14</v>
      </c>
      <c r="E185" t="str">
        <f>"C:\TOC3201\Methods\Itamar\acid_sample.met"</f>
        <v>C:\TOC3201\Methods\Itamar\acid_sample.met</v>
      </c>
      <c r="F185" t="str">
        <f>"C:\TOC3201\CalCurves\Itamar\C_cal_100ppm_acid_laurel.2019_08_15_10_24_40.cal"</f>
        <v>C:\TOC3201\CalCurves\Itamar\C_cal_100ppm_acid_laurel.2019_08_15_10_24_40.cal</v>
      </c>
      <c r="G185">
        <v>1</v>
      </c>
      <c r="H185" t="str">
        <f>""</f>
        <v/>
      </c>
      <c r="I185" t="str">
        <f>"8/15/2019 8:24:48 PM"</f>
        <v>8/15/2019 8:24:48 PM</v>
      </c>
      <c r="J185" t="str">
        <f>"1"</f>
        <v>1</v>
      </c>
      <c r="K185" t="str">
        <f>"3"</f>
        <v>3</v>
      </c>
      <c r="L185" t="str">
        <f>"NPOC"</f>
        <v>NPOC</v>
      </c>
      <c r="M185" t="str">
        <f>"86.73"</f>
        <v>86.73</v>
      </c>
      <c r="N185" t="str">
        <f>"17.87"</f>
        <v>17.87</v>
      </c>
      <c r="O185" t="str">
        <f>"NPOC:17.59mg/L TN:0.9951mg/L"</f>
        <v>NPOC:17.59mg/L TN:0.9951mg/L</v>
      </c>
      <c r="P185">
        <v>0</v>
      </c>
      <c r="Q185" t="str">
        <f>"80"</f>
        <v>80</v>
      </c>
    </row>
    <row r="186" spans="1:17" x14ac:dyDescent="0.2">
      <c r="A186" t="str">
        <f>"Unknown"</f>
        <v>Unknown</v>
      </c>
      <c r="B186" t="str">
        <f>"NPOC/TN"</f>
        <v>NPOC/TN</v>
      </c>
      <c r="C186" t="str">
        <f>"1071"</f>
        <v>1071</v>
      </c>
      <c r="D186" t="str">
        <f>"14"</f>
        <v>14</v>
      </c>
      <c r="E186" t="str">
        <f>"C:\TOC3201\Methods\Itamar\acid_sample.met"</f>
        <v>C:\TOC3201\Methods\Itamar\acid_sample.met</v>
      </c>
      <c r="F186" t="str">
        <f>"C:\TOC3201\CalCurves\Itamar\C_cal_100ppm_acid_laurel.2019_08_15_10_24_40.cal"</f>
        <v>C:\TOC3201\CalCurves\Itamar\C_cal_100ppm_acid_laurel.2019_08_15_10_24_40.cal</v>
      </c>
      <c r="G186">
        <v>1</v>
      </c>
      <c r="H186" t="str">
        <f>""</f>
        <v/>
      </c>
      <c r="I186" t="str">
        <f>"8/15/2019 8:28:29 PM"</f>
        <v>8/15/2019 8:28:29 PM</v>
      </c>
      <c r="J186" t="str">
        <f>"1"</f>
        <v>1</v>
      </c>
      <c r="K186" t="str">
        <f>"4"</f>
        <v>4</v>
      </c>
      <c r="L186" t="str">
        <f>"NPOC"</f>
        <v>NPOC</v>
      </c>
      <c r="M186" t="str">
        <f>"85.48"</f>
        <v>85.48</v>
      </c>
      <c r="N186" t="str">
        <f>"17.61"</f>
        <v>17.61</v>
      </c>
      <c r="O186" t="str">
        <f>"NPOC:17.59mg/L TN:0.9951mg/L"</f>
        <v>NPOC:17.59mg/L TN:0.9951mg/L</v>
      </c>
      <c r="P186">
        <v>0</v>
      </c>
      <c r="Q186" t="str">
        <f>"80"</f>
        <v>80</v>
      </c>
    </row>
    <row r="187" spans="1:17" x14ac:dyDescent="0.2">
      <c r="A187" t="str">
        <f>"Unknown"</f>
        <v>Unknown</v>
      </c>
      <c r="B187" t="str">
        <f>"NPOC/TN"</f>
        <v>NPOC/TN</v>
      </c>
      <c r="C187" t="str">
        <f>"1071"</f>
        <v>1071</v>
      </c>
      <c r="D187" t="str">
        <f>"14"</f>
        <v>14</v>
      </c>
      <c r="E187" t="str">
        <f>"C:\TOC3201\Methods\Itamar\acid_sample.met"</f>
        <v>C:\TOC3201\Methods\Itamar\acid_sample.met</v>
      </c>
      <c r="F187" t="str">
        <f>"C:\TOC3201\CalCurves\Itamar\N_cal_25ppm_acid_laurel.2019_08_15_12_20_41.cal"</f>
        <v>C:\TOC3201\CalCurves\Itamar\N_cal_25ppm_acid_laurel.2019_08_15_12_20_41.cal</v>
      </c>
      <c r="G187">
        <v>1</v>
      </c>
      <c r="H187" t="str">
        <f>""</f>
        <v/>
      </c>
      <c r="I187" t="str">
        <f>"8/15/2019 8:17:17 PM"</f>
        <v>8/15/2019 8:17:17 PM</v>
      </c>
      <c r="J187" t="str">
        <f>"1"</f>
        <v>1</v>
      </c>
      <c r="K187" t="str">
        <f>"1"</f>
        <v>1</v>
      </c>
      <c r="L187" t="str">
        <f>"TN"</f>
        <v>TN</v>
      </c>
      <c r="M187" t="str">
        <f>"3.231"</f>
        <v>3.231</v>
      </c>
      <c r="N187" t="str">
        <f>"0.9842"</f>
        <v>0.9842</v>
      </c>
      <c r="O187" t="str">
        <f>"NPOC:17.59mg/L TN:0.9951mg/L"</f>
        <v>NPOC:17.59mg/L TN:0.9951mg/L</v>
      </c>
      <c r="P187">
        <v>0</v>
      </c>
      <c r="Q187" t="str">
        <f>"80"</f>
        <v>80</v>
      </c>
    </row>
    <row r="188" spans="1:17" x14ac:dyDescent="0.2">
      <c r="A188" t="str">
        <f>"Unknown"</f>
        <v>Unknown</v>
      </c>
      <c r="B188" t="str">
        <f>"NPOC/TN"</f>
        <v>NPOC/TN</v>
      </c>
      <c r="C188" t="str">
        <f>"1071"</f>
        <v>1071</v>
      </c>
      <c r="D188" t="str">
        <f>"14"</f>
        <v>14</v>
      </c>
      <c r="E188" t="str">
        <f>"C:\TOC3201\Methods\Itamar\acid_sample.met"</f>
        <v>C:\TOC3201\Methods\Itamar\acid_sample.met</v>
      </c>
      <c r="F188" t="str">
        <f>"C:\TOC3201\CalCurves\Itamar\N_cal_25ppm_acid_laurel.2019_08_15_12_20_41.cal"</f>
        <v>C:\TOC3201\CalCurves\Itamar\N_cal_25ppm_acid_laurel.2019_08_15_12_20_41.cal</v>
      </c>
      <c r="G188">
        <v>1</v>
      </c>
      <c r="H188" t="str">
        <f>""</f>
        <v/>
      </c>
      <c r="I188" t="str">
        <f>"8/15/2019 8:21:00 PM"</f>
        <v>8/15/2019 8:21:00 PM</v>
      </c>
      <c r="J188" t="str">
        <f>"1"</f>
        <v>1</v>
      </c>
      <c r="K188" t="str">
        <f>"2"</f>
        <v>2</v>
      </c>
      <c r="L188" t="str">
        <f>"TN"</f>
        <v>TN</v>
      </c>
      <c r="M188" t="str">
        <f>"3.261"</f>
        <v>3.261</v>
      </c>
      <c r="N188" t="str">
        <f>"0.9918"</f>
        <v>0.9918</v>
      </c>
      <c r="O188" t="str">
        <f>"NPOC:17.59mg/L TN:0.9951mg/L"</f>
        <v>NPOC:17.59mg/L TN:0.9951mg/L</v>
      </c>
      <c r="P188">
        <v>0</v>
      </c>
      <c r="Q188" t="str">
        <f>"80"</f>
        <v>80</v>
      </c>
    </row>
    <row r="189" spans="1:17" x14ac:dyDescent="0.2">
      <c r="A189" t="str">
        <f>"Unknown"</f>
        <v>Unknown</v>
      </c>
      <c r="B189" t="str">
        <f>"NPOC/TN"</f>
        <v>NPOC/TN</v>
      </c>
      <c r="C189" t="str">
        <f>"1071"</f>
        <v>1071</v>
      </c>
      <c r="D189" t="str">
        <f>"14"</f>
        <v>14</v>
      </c>
      <c r="E189" t="str">
        <f>"C:\TOC3201\Methods\Itamar\acid_sample.met"</f>
        <v>C:\TOC3201\Methods\Itamar\acid_sample.met</v>
      </c>
      <c r="F189" t="str">
        <f>"C:\TOC3201\CalCurves\Itamar\N_cal_25ppm_acid_laurel.2019_08_15_12_20_41.cal"</f>
        <v>C:\TOC3201\CalCurves\Itamar\N_cal_25ppm_acid_laurel.2019_08_15_12_20_41.cal</v>
      </c>
      <c r="G189">
        <v>1</v>
      </c>
      <c r="H189" t="str">
        <f>""</f>
        <v/>
      </c>
      <c r="I189" t="str">
        <f>"8/15/2019 8:24:48 PM"</f>
        <v>8/15/2019 8:24:48 PM</v>
      </c>
      <c r="J189" t="str">
        <f>"1"</f>
        <v>1</v>
      </c>
      <c r="K189" t="str">
        <f>"3"</f>
        <v>3</v>
      </c>
      <c r="L189" t="str">
        <f>"TN"</f>
        <v>TN</v>
      </c>
      <c r="M189" t="str">
        <f>"3.568"</f>
        <v>3.568</v>
      </c>
      <c r="N189" t="str">
        <f>"1.070"</f>
        <v>1.070</v>
      </c>
      <c r="O189" t="str">
        <f>"NPOC:17.59mg/L TN:0.9951mg/L"</f>
        <v>NPOC:17.59mg/L TN:0.9951mg/L</v>
      </c>
      <c r="P189">
        <v>1</v>
      </c>
      <c r="Q189" t="str">
        <f>"80"</f>
        <v>80</v>
      </c>
    </row>
    <row r="190" spans="1:17" x14ac:dyDescent="0.2">
      <c r="A190" t="str">
        <f>"Unknown"</f>
        <v>Unknown</v>
      </c>
      <c r="B190" t="str">
        <f>"NPOC/TN"</f>
        <v>NPOC/TN</v>
      </c>
      <c r="C190" t="str">
        <f>"1071"</f>
        <v>1071</v>
      </c>
      <c r="D190" t="str">
        <f>"14"</f>
        <v>14</v>
      </c>
      <c r="E190" t="str">
        <f>"C:\TOC3201\Methods\Itamar\acid_sample.met"</f>
        <v>C:\TOC3201\Methods\Itamar\acid_sample.met</v>
      </c>
      <c r="F190" t="str">
        <f>"C:\TOC3201\CalCurves\Itamar\N_cal_25ppm_acid_laurel.2019_08_15_12_20_41.cal"</f>
        <v>C:\TOC3201\CalCurves\Itamar\N_cal_25ppm_acid_laurel.2019_08_15_12_20_41.cal</v>
      </c>
      <c r="G190">
        <v>1</v>
      </c>
      <c r="H190" t="str">
        <f>""</f>
        <v/>
      </c>
      <c r="I190" t="str">
        <f>"8/15/2019 8:28:29 PM"</f>
        <v>8/15/2019 8:28:29 PM</v>
      </c>
      <c r="J190" t="str">
        <f>"1"</f>
        <v>1</v>
      </c>
      <c r="K190" t="str">
        <f>"4"</f>
        <v>4</v>
      </c>
      <c r="L190" t="str">
        <f>"TN"</f>
        <v>TN</v>
      </c>
      <c r="M190" t="str">
        <f>"3.666"</f>
        <v>3.666</v>
      </c>
      <c r="N190" t="str">
        <f>"1.095"</f>
        <v>1.095</v>
      </c>
      <c r="O190" t="str">
        <f>"NPOC:17.59mg/L TN:0.9951mg/L"</f>
        <v>NPOC:17.59mg/L TN:0.9951mg/L</v>
      </c>
      <c r="P190">
        <v>1</v>
      </c>
      <c r="Q190" t="str">
        <f>"80"</f>
        <v>80</v>
      </c>
    </row>
    <row r="191" spans="1:17" x14ac:dyDescent="0.2">
      <c r="A191" t="str">
        <f>"Unknown"</f>
        <v>Unknown</v>
      </c>
      <c r="B191" t="str">
        <f>"NPOC/TN"</f>
        <v>NPOC/TN</v>
      </c>
      <c r="C191" t="str">
        <f>"1071"</f>
        <v>1071</v>
      </c>
      <c r="D191" t="str">
        <f>"14"</f>
        <v>14</v>
      </c>
      <c r="E191" t="str">
        <f>"C:\TOC3201\Methods\Itamar\acid_sample.met"</f>
        <v>C:\TOC3201\Methods\Itamar\acid_sample.met</v>
      </c>
      <c r="F191" t="str">
        <f>"C:\TOC3201\CalCurves\Itamar\N_cal_25ppm_acid_laurel.2019_08_15_12_20_41.cal"</f>
        <v>C:\TOC3201\CalCurves\Itamar\N_cal_25ppm_acid_laurel.2019_08_15_12_20_41.cal</v>
      </c>
      <c r="G191">
        <v>1</v>
      </c>
      <c r="H191" t="str">
        <f>""</f>
        <v/>
      </c>
      <c r="I191" t="str">
        <f>"8/15/2019 8:31:29 PM"</f>
        <v>8/15/2019 8:31:29 PM</v>
      </c>
      <c r="J191" t="str">
        <f>"1"</f>
        <v>1</v>
      </c>
      <c r="K191" t="str">
        <f>"5"</f>
        <v>5</v>
      </c>
      <c r="L191" t="str">
        <f>"TN"</f>
        <v>TN</v>
      </c>
      <c r="M191" t="str">
        <f>"3.330"</f>
        <v>3.330</v>
      </c>
      <c r="N191" t="str">
        <f>"1.009"</f>
        <v>1.009</v>
      </c>
      <c r="O191" t="str">
        <f>"NPOC:17.59mg/L TN:0.9951mg/L"</f>
        <v>NPOC:17.59mg/L TN:0.9951mg/L</v>
      </c>
      <c r="P191">
        <v>0</v>
      </c>
      <c r="Q191" t="str">
        <f>"80"</f>
        <v>80</v>
      </c>
    </row>
    <row r="192" spans="1:17" x14ac:dyDescent="0.2">
      <c r="A192" t="str">
        <f>"Unknown"</f>
        <v>Unknown</v>
      </c>
      <c r="B192" t="str">
        <f>"NPOC/TN"</f>
        <v>NPOC/TN</v>
      </c>
      <c r="C192" t="str">
        <f>"1073"</f>
        <v>1073</v>
      </c>
      <c r="D192" t="str">
        <f>"15"</f>
        <v>15</v>
      </c>
      <c r="E192" t="str">
        <f>"C:\TOC3201\Methods\Itamar\acid_sample.met"</f>
        <v>C:\TOC3201\Methods\Itamar\acid_sample.met</v>
      </c>
      <c r="F192" t="str">
        <f>"C:\TOC3201\CalCurves\Itamar\C_cal_100ppm_acid_laurel.2019_08_15_10_24_40.cal"</f>
        <v>C:\TOC3201\CalCurves\Itamar\C_cal_100ppm_acid_laurel.2019_08_15_10_24_40.cal</v>
      </c>
      <c r="G192">
        <v>1</v>
      </c>
      <c r="H192" t="str">
        <f>""</f>
        <v/>
      </c>
      <c r="I192" t="str">
        <f>"8/15/2019 8:41:38 PM"</f>
        <v>8/15/2019 8:41:38 PM</v>
      </c>
      <c r="J192" t="str">
        <f>"1"</f>
        <v>1</v>
      </c>
      <c r="K192" t="str">
        <f>"1"</f>
        <v>1</v>
      </c>
      <c r="L192" t="str">
        <f>"NPOC"</f>
        <v>NPOC</v>
      </c>
      <c r="M192" t="str">
        <f>"82.18"</f>
        <v>82.18</v>
      </c>
      <c r="N192" t="str">
        <f>"16.94"</f>
        <v>16.94</v>
      </c>
      <c r="O192" t="str">
        <f>"NPOC:16.65mg/L TN:1.014mg/L"</f>
        <v>NPOC:16.65mg/L TN:1.014mg/L</v>
      </c>
      <c r="P192">
        <v>0</v>
      </c>
      <c r="Q192" t="str">
        <f>"80"</f>
        <v>80</v>
      </c>
    </row>
    <row r="193" spans="1:17" x14ac:dyDescent="0.2">
      <c r="A193" t="str">
        <f>"Unknown"</f>
        <v>Unknown</v>
      </c>
      <c r="B193" t="str">
        <f>"NPOC/TN"</f>
        <v>NPOC/TN</v>
      </c>
      <c r="C193" t="str">
        <f>"1073"</f>
        <v>1073</v>
      </c>
      <c r="D193" t="str">
        <f>"15"</f>
        <v>15</v>
      </c>
      <c r="E193" t="str">
        <f>"C:\TOC3201\Methods\Itamar\acid_sample.met"</f>
        <v>C:\TOC3201\Methods\Itamar\acid_sample.met</v>
      </c>
      <c r="F193" t="str">
        <f>"C:\TOC3201\CalCurves\Itamar\C_cal_100ppm_acid_laurel.2019_08_15_10_24_40.cal"</f>
        <v>C:\TOC3201\CalCurves\Itamar\C_cal_100ppm_acid_laurel.2019_08_15_10_24_40.cal</v>
      </c>
      <c r="G193">
        <v>1</v>
      </c>
      <c r="H193" t="str">
        <f>""</f>
        <v/>
      </c>
      <c r="I193" t="str">
        <f>"8/15/2019 8:45:22 PM"</f>
        <v>8/15/2019 8:45:22 PM</v>
      </c>
      <c r="J193" t="str">
        <f>"1"</f>
        <v>1</v>
      </c>
      <c r="K193" t="str">
        <f>"2"</f>
        <v>2</v>
      </c>
      <c r="L193" t="str">
        <f>"NPOC"</f>
        <v>NPOC</v>
      </c>
      <c r="M193" t="str">
        <f>"79.72"</f>
        <v>79.72</v>
      </c>
      <c r="N193" t="str">
        <f>"16.43"</f>
        <v>16.43</v>
      </c>
      <c r="O193" t="str">
        <f>"NPOC:16.65mg/L TN:1.014mg/L"</f>
        <v>NPOC:16.65mg/L TN:1.014mg/L</v>
      </c>
      <c r="P193">
        <v>0</v>
      </c>
      <c r="Q193" t="str">
        <f>"80"</f>
        <v>80</v>
      </c>
    </row>
    <row r="194" spans="1:17" x14ac:dyDescent="0.2">
      <c r="A194" t="str">
        <f>"Unknown"</f>
        <v>Unknown</v>
      </c>
      <c r="B194" t="str">
        <f>"NPOC/TN"</f>
        <v>NPOC/TN</v>
      </c>
      <c r="C194" t="str">
        <f>"1073"</f>
        <v>1073</v>
      </c>
      <c r="D194" t="str">
        <f>"15"</f>
        <v>15</v>
      </c>
      <c r="E194" t="str">
        <f>"C:\TOC3201\Methods\Itamar\acid_sample.met"</f>
        <v>C:\TOC3201\Methods\Itamar\acid_sample.met</v>
      </c>
      <c r="F194" t="str">
        <f>"C:\TOC3201\CalCurves\Itamar\C_cal_100ppm_acid_laurel.2019_08_15_10_24_40.cal"</f>
        <v>C:\TOC3201\CalCurves\Itamar\C_cal_100ppm_acid_laurel.2019_08_15_10_24_40.cal</v>
      </c>
      <c r="G194">
        <v>1</v>
      </c>
      <c r="H194" t="str">
        <f>""</f>
        <v/>
      </c>
      <c r="I194" t="str">
        <f>"8/15/2019 8:49:17 PM"</f>
        <v>8/15/2019 8:49:17 PM</v>
      </c>
      <c r="J194" t="str">
        <f>"1"</f>
        <v>1</v>
      </c>
      <c r="K194" t="str">
        <f>"3"</f>
        <v>3</v>
      </c>
      <c r="L194" t="str">
        <f>"NPOC"</f>
        <v>NPOC</v>
      </c>
      <c r="M194" t="str">
        <f>"87.81"</f>
        <v>87.81</v>
      </c>
      <c r="N194" t="str">
        <f>"18.09"</f>
        <v>18.09</v>
      </c>
      <c r="O194" t="str">
        <f>"NPOC:16.65mg/L TN:1.014mg/L"</f>
        <v>NPOC:16.65mg/L TN:1.014mg/L</v>
      </c>
      <c r="P194">
        <v>1</v>
      </c>
      <c r="Q194" t="str">
        <f>"80"</f>
        <v>80</v>
      </c>
    </row>
    <row r="195" spans="1:17" x14ac:dyDescent="0.2">
      <c r="A195" t="str">
        <f>"Unknown"</f>
        <v>Unknown</v>
      </c>
      <c r="B195" t="str">
        <f>"NPOC/TN"</f>
        <v>NPOC/TN</v>
      </c>
      <c r="C195" t="str">
        <f>"1073"</f>
        <v>1073</v>
      </c>
      <c r="D195" t="str">
        <f>"15"</f>
        <v>15</v>
      </c>
      <c r="E195" t="str">
        <f>"C:\TOC3201\Methods\Itamar\acid_sample.met"</f>
        <v>C:\TOC3201\Methods\Itamar\acid_sample.met</v>
      </c>
      <c r="F195" t="str">
        <f>"C:\TOC3201\CalCurves\Itamar\C_cal_100ppm_acid_laurel.2019_08_15_10_24_40.cal"</f>
        <v>C:\TOC3201\CalCurves\Itamar\C_cal_100ppm_acid_laurel.2019_08_15_10_24_40.cal</v>
      </c>
      <c r="G195">
        <v>1</v>
      </c>
      <c r="H195" t="str">
        <f>""</f>
        <v/>
      </c>
      <c r="I195" t="str">
        <f>"8/15/2019 8:53:20 PM"</f>
        <v>8/15/2019 8:53:20 PM</v>
      </c>
      <c r="J195" t="str">
        <f>"1"</f>
        <v>1</v>
      </c>
      <c r="K195" t="str">
        <f>"4"</f>
        <v>4</v>
      </c>
      <c r="L195" t="str">
        <f>"NPOC"</f>
        <v>NPOC</v>
      </c>
      <c r="M195" t="str">
        <f>"83.74"</f>
        <v>83.74</v>
      </c>
      <c r="N195" t="str">
        <f>"17.26"</f>
        <v>17.26</v>
      </c>
      <c r="O195" t="str">
        <f>"NPOC:16.65mg/L TN:1.014mg/L"</f>
        <v>NPOC:16.65mg/L TN:1.014mg/L</v>
      </c>
      <c r="P195">
        <v>1</v>
      </c>
      <c r="Q195" t="str">
        <f>"80"</f>
        <v>80</v>
      </c>
    </row>
    <row r="196" spans="1:17" x14ac:dyDescent="0.2">
      <c r="A196" t="str">
        <f>"Unknown"</f>
        <v>Unknown</v>
      </c>
      <c r="B196" t="str">
        <f>"NPOC/TN"</f>
        <v>NPOC/TN</v>
      </c>
      <c r="C196" t="str">
        <f>"1073"</f>
        <v>1073</v>
      </c>
      <c r="D196" t="str">
        <f>"15"</f>
        <v>15</v>
      </c>
      <c r="E196" t="str">
        <f>"C:\TOC3201\Methods\Itamar\acid_sample.met"</f>
        <v>C:\TOC3201\Methods\Itamar\acid_sample.met</v>
      </c>
      <c r="F196" t="str">
        <f>"C:\TOC3201\CalCurves\Itamar\C_cal_100ppm_acid_laurel.2019_08_15_10_24_40.cal"</f>
        <v>C:\TOC3201\CalCurves\Itamar\C_cal_100ppm_acid_laurel.2019_08_15_10_24_40.cal</v>
      </c>
      <c r="G196">
        <v>1</v>
      </c>
      <c r="H196" t="str">
        <f>""</f>
        <v/>
      </c>
      <c r="I196" t="str">
        <f>"8/15/2019 8:57:02 PM"</f>
        <v>8/15/2019 8:57:02 PM</v>
      </c>
      <c r="J196" t="str">
        <f>"1"</f>
        <v>1</v>
      </c>
      <c r="K196" t="str">
        <f>"5"</f>
        <v>5</v>
      </c>
      <c r="L196" t="str">
        <f>"NPOC"</f>
        <v>NPOC</v>
      </c>
      <c r="M196" t="str">
        <f>"80.46"</f>
        <v>80.46</v>
      </c>
      <c r="N196" t="str">
        <f>"16.58"</f>
        <v>16.58</v>
      </c>
      <c r="O196" t="str">
        <f>"NPOC:16.65mg/L TN:1.014mg/L"</f>
        <v>NPOC:16.65mg/L TN:1.014mg/L</v>
      </c>
      <c r="P196">
        <v>0</v>
      </c>
      <c r="Q196" t="str">
        <f>"80"</f>
        <v>80</v>
      </c>
    </row>
    <row r="197" spans="1:17" x14ac:dyDescent="0.2">
      <c r="A197" t="str">
        <f>"Unknown"</f>
        <v>Unknown</v>
      </c>
      <c r="B197" t="str">
        <f>"NPOC/TN"</f>
        <v>NPOC/TN</v>
      </c>
      <c r="C197" t="str">
        <f>"1073"</f>
        <v>1073</v>
      </c>
      <c r="D197" t="str">
        <f>"15"</f>
        <v>15</v>
      </c>
      <c r="E197" t="str">
        <f>"C:\TOC3201\Methods\Itamar\acid_sample.met"</f>
        <v>C:\TOC3201\Methods\Itamar\acid_sample.met</v>
      </c>
      <c r="F197" t="str">
        <f>"C:\TOC3201\CalCurves\Itamar\N_cal_25ppm_acid_laurel.2019_08_15_12_20_41.cal"</f>
        <v>C:\TOC3201\CalCurves\Itamar\N_cal_25ppm_acid_laurel.2019_08_15_12_20_41.cal</v>
      </c>
      <c r="G197">
        <v>1</v>
      </c>
      <c r="H197" t="str">
        <f>""</f>
        <v/>
      </c>
      <c r="I197" t="str">
        <f>"8/15/2019 8:41:38 PM"</f>
        <v>8/15/2019 8:41:38 PM</v>
      </c>
      <c r="J197" t="str">
        <f>"1"</f>
        <v>1</v>
      </c>
      <c r="K197" t="str">
        <f>"1"</f>
        <v>1</v>
      </c>
      <c r="L197" t="str">
        <f>"TN"</f>
        <v>TN</v>
      </c>
      <c r="M197" t="str">
        <f>"3.253"</f>
        <v>3.253</v>
      </c>
      <c r="N197" t="str">
        <f>"0.9898"</f>
        <v>0.9898</v>
      </c>
      <c r="O197" t="str">
        <f>"NPOC:16.65mg/L TN:1.014mg/L"</f>
        <v>NPOC:16.65mg/L TN:1.014mg/L</v>
      </c>
      <c r="P197">
        <v>0</v>
      </c>
      <c r="Q197" t="str">
        <f>"80"</f>
        <v>80</v>
      </c>
    </row>
    <row r="198" spans="1:17" x14ac:dyDescent="0.2">
      <c r="A198" t="str">
        <f>"Unknown"</f>
        <v>Unknown</v>
      </c>
      <c r="B198" t="str">
        <f>"NPOC/TN"</f>
        <v>NPOC/TN</v>
      </c>
      <c r="C198" t="str">
        <f>"1073"</f>
        <v>1073</v>
      </c>
      <c r="D198" t="str">
        <f>"15"</f>
        <v>15</v>
      </c>
      <c r="E198" t="str">
        <f>"C:\TOC3201\Methods\Itamar\acid_sample.met"</f>
        <v>C:\TOC3201\Methods\Itamar\acid_sample.met</v>
      </c>
      <c r="F198" t="str">
        <f>"C:\TOC3201\CalCurves\Itamar\N_cal_25ppm_acid_laurel.2019_08_15_12_20_41.cal"</f>
        <v>C:\TOC3201\CalCurves\Itamar\N_cal_25ppm_acid_laurel.2019_08_15_12_20_41.cal</v>
      </c>
      <c r="G198">
        <v>1</v>
      </c>
      <c r="H198" t="str">
        <f>""</f>
        <v/>
      </c>
      <c r="I198" t="str">
        <f>"8/15/2019 8:45:22 PM"</f>
        <v>8/15/2019 8:45:22 PM</v>
      </c>
      <c r="J198" t="str">
        <f>"1"</f>
        <v>1</v>
      </c>
      <c r="K198" t="str">
        <f>"2"</f>
        <v>2</v>
      </c>
      <c r="L198" t="str">
        <f>"TN"</f>
        <v>TN</v>
      </c>
      <c r="M198" t="str">
        <f>"2.399"</f>
        <v>2.399</v>
      </c>
      <c r="N198" t="str">
        <f>"0.7722"</f>
        <v>0.7722</v>
      </c>
      <c r="O198" t="str">
        <f>"NPOC:16.65mg/L TN:1.014mg/L"</f>
        <v>NPOC:16.65mg/L TN:1.014mg/L</v>
      </c>
      <c r="P198">
        <v>1</v>
      </c>
      <c r="Q198" t="str">
        <f>"80"</f>
        <v>80</v>
      </c>
    </row>
    <row r="199" spans="1:17" x14ac:dyDescent="0.2">
      <c r="A199" t="str">
        <f>"Unknown"</f>
        <v>Unknown</v>
      </c>
      <c r="B199" t="str">
        <f>"NPOC/TN"</f>
        <v>NPOC/TN</v>
      </c>
      <c r="C199" t="str">
        <f>"1073"</f>
        <v>1073</v>
      </c>
      <c r="D199" t="str">
        <f>"15"</f>
        <v>15</v>
      </c>
      <c r="E199" t="str">
        <f>"C:\TOC3201\Methods\Itamar\acid_sample.met"</f>
        <v>C:\TOC3201\Methods\Itamar\acid_sample.met</v>
      </c>
      <c r="F199" t="str">
        <f>"C:\TOC3201\CalCurves\Itamar\N_cal_25ppm_acid_laurel.2019_08_15_12_20_41.cal"</f>
        <v>C:\TOC3201\CalCurves\Itamar\N_cal_25ppm_acid_laurel.2019_08_15_12_20_41.cal</v>
      </c>
      <c r="G199">
        <v>1</v>
      </c>
      <c r="H199" t="str">
        <f>""</f>
        <v/>
      </c>
      <c r="I199" t="str">
        <f>"8/15/2019 8:49:17 PM"</f>
        <v>8/15/2019 8:49:17 PM</v>
      </c>
      <c r="J199" t="str">
        <f>"1"</f>
        <v>1</v>
      </c>
      <c r="K199" t="str">
        <f>"3"</f>
        <v>3</v>
      </c>
      <c r="L199" t="str">
        <f>"TN"</f>
        <v>TN</v>
      </c>
      <c r="M199" t="str">
        <f>"3.400"</f>
        <v>3.400</v>
      </c>
      <c r="N199" t="str">
        <f>"1.027"</f>
        <v>1.027</v>
      </c>
      <c r="O199" t="str">
        <f>"NPOC:16.65mg/L TN:1.014mg/L"</f>
        <v>NPOC:16.65mg/L TN:1.014mg/L</v>
      </c>
      <c r="P199">
        <v>0</v>
      </c>
      <c r="Q199" t="str">
        <f>"80"</f>
        <v>80</v>
      </c>
    </row>
    <row r="200" spans="1:17" x14ac:dyDescent="0.2">
      <c r="A200" t="str">
        <f>"Unknown"</f>
        <v>Unknown</v>
      </c>
      <c r="B200" t="str">
        <f>"NPOC/TN"</f>
        <v>NPOC/TN</v>
      </c>
      <c r="C200" t="str">
        <f>"1073"</f>
        <v>1073</v>
      </c>
      <c r="D200" t="str">
        <f>"15"</f>
        <v>15</v>
      </c>
      <c r="E200" t="str">
        <f>"C:\TOC3201\Methods\Itamar\acid_sample.met"</f>
        <v>C:\TOC3201\Methods\Itamar\acid_sample.met</v>
      </c>
      <c r="F200" t="str">
        <f>"C:\TOC3201\CalCurves\Itamar\N_cal_25ppm_acid_laurel.2019_08_15_12_20_41.cal"</f>
        <v>C:\TOC3201\CalCurves\Itamar\N_cal_25ppm_acid_laurel.2019_08_15_12_20_41.cal</v>
      </c>
      <c r="G200">
        <v>1</v>
      </c>
      <c r="H200" t="str">
        <f>""</f>
        <v/>
      </c>
      <c r="I200" t="str">
        <f>"8/15/2019 8:53:20 PM"</f>
        <v>8/15/2019 8:53:20 PM</v>
      </c>
      <c r="J200" t="str">
        <f>"1"</f>
        <v>1</v>
      </c>
      <c r="K200" t="str">
        <f>"4"</f>
        <v>4</v>
      </c>
      <c r="L200" t="str">
        <f>"TN"</f>
        <v>TN</v>
      </c>
      <c r="M200" t="str">
        <f>"3.392"</f>
        <v>3.392</v>
      </c>
      <c r="N200" t="str">
        <f>"1.025"</f>
        <v>1.025</v>
      </c>
      <c r="O200" t="str">
        <f>"NPOC:16.65mg/L TN:1.014mg/L"</f>
        <v>NPOC:16.65mg/L TN:1.014mg/L</v>
      </c>
      <c r="P200">
        <v>0</v>
      </c>
      <c r="Q200" t="str">
        <f>"80"</f>
        <v>80</v>
      </c>
    </row>
    <row r="201" spans="1:17" x14ac:dyDescent="0.2">
      <c r="A201" t="str">
        <f>"Unknown"</f>
        <v>Unknown</v>
      </c>
      <c r="B201" t="str">
        <f>"NPOC/TN"</f>
        <v>NPOC/TN</v>
      </c>
      <c r="C201" t="str">
        <f>"DI"</f>
        <v>DI</v>
      </c>
      <c r="D201" t="str">
        <f>"DI"</f>
        <v>DI</v>
      </c>
      <c r="E201" t="str">
        <f>"C:\TOC3201\Methods\Itamar\acid_sample.met"</f>
        <v>C:\TOC3201\Methods\Itamar\acid_sample.met</v>
      </c>
      <c r="F201" t="str">
        <f>"C:\TOC3201\CalCurves\Itamar\C_cal_100ppm_acid_laurel.2019_08_15_10_24_40.cal"</f>
        <v>C:\TOC3201\CalCurves\Itamar\C_cal_100ppm_acid_laurel.2019_08_15_10_24_40.cal</v>
      </c>
      <c r="G201">
        <v>1</v>
      </c>
      <c r="H201" t="str">
        <f>""</f>
        <v/>
      </c>
      <c r="I201" t="str">
        <f>"8/15/2019 9:05:37 PM"</f>
        <v>8/15/2019 9:05:37 PM</v>
      </c>
      <c r="J201" t="str">
        <f>"1"</f>
        <v>1</v>
      </c>
      <c r="K201" t="str">
        <f>"1"</f>
        <v>1</v>
      </c>
      <c r="L201" t="str">
        <f>"NPOC"</f>
        <v>NPOC</v>
      </c>
      <c r="M201" t="str">
        <f>"0.000"</f>
        <v>0.000</v>
      </c>
      <c r="N201" t="str">
        <f>"0.06002"</f>
        <v>0.06002</v>
      </c>
      <c r="O201" t="str">
        <f>"NPOC:0.06002mg/L TN:0.1609mg/L"</f>
        <v>NPOC:0.06002mg/L TN:0.1609mg/L</v>
      </c>
      <c r="P201">
        <v>0</v>
      </c>
      <c r="Q201" t="str">
        <f>"80"</f>
        <v>80</v>
      </c>
    </row>
    <row r="202" spans="1:17" x14ac:dyDescent="0.2">
      <c r="A202" t="str">
        <f>"Unknown"</f>
        <v>Unknown</v>
      </c>
      <c r="B202" t="str">
        <f>"NPOC/TN"</f>
        <v>NPOC/TN</v>
      </c>
      <c r="C202" t="str">
        <f>"DI"</f>
        <v>DI</v>
      </c>
      <c r="D202" t="str">
        <f>"DI"</f>
        <v>DI</v>
      </c>
      <c r="E202" t="str">
        <f>"C:\TOC3201\Methods\Itamar\acid_sample.met"</f>
        <v>C:\TOC3201\Methods\Itamar\acid_sample.met</v>
      </c>
      <c r="F202" t="str">
        <f>"C:\TOC3201\CalCurves\Itamar\C_cal_100ppm_acid_laurel.2019_08_15_10_24_40.cal"</f>
        <v>C:\TOC3201\CalCurves\Itamar\C_cal_100ppm_acid_laurel.2019_08_15_10_24_40.cal</v>
      </c>
      <c r="G202">
        <v>1</v>
      </c>
      <c r="H202" t="str">
        <f>""</f>
        <v/>
      </c>
      <c r="I202" t="str">
        <f>"8/15/2019 9:07:41 PM"</f>
        <v>8/15/2019 9:07:41 PM</v>
      </c>
      <c r="J202" t="str">
        <f>"1"</f>
        <v>1</v>
      </c>
      <c r="K202" t="str">
        <f>"2"</f>
        <v>2</v>
      </c>
      <c r="L202" t="str">
        <f>"NPOC"</f>
        <v>NPOC</v>
      </c>
      <c r="M202" t="str">
        <f>"0.000"</f>
        <v>0.000</v>
      </c>
      <c r="N202" t="str">
        <f>"0.06002"</f>
        <v>0.06002</v>
      </c>
      <c r="O202" t="str">
        <f>"NPOC:0.06002mg/L TN:0.1609mg/L"</f>
        <v>NPOC:0.06002mg/L TN:0.1609mg/L</v>
      </c>
      <c r="P202">
        <v>0</v>
      </c>
      <c r="Q202" t="str">
        <f>"80"</f>
        <v>80</v>
      </c>
    </row>
    <row r="203" spans="1:17" x14ac:dyDescent="0.2">
      <c r="A203" t="str">
        <f>"Unknown"</f>
        <v>Unknown</v>
      </c>
      <c r="B203" t="str">
        <f>"NPOC/TN"</f>
        <v>NPOC/TN</v>
      </c>
      <c r="C203" t="str">
        <f>"DI"</f>
        <v>DI</v>
      </c>
      <c r="D203" t="str">
        <f>"DI"</f>
        <v>DI</v>
      </c>
      <c r="E203" t="str">
        <f>"C:\TOC3201\Methods\Itamar\acid_sample.met"</f>
        <v>C:\TOC3201\Methods\Itamar\acid_sample.met</v>
      </c>
      <c r="F203" t="str">
        <f>"C:\TOC3201\CalCurves\Itamar\C_cal_100ppm_acid_laurel.2019_08_15_10_24_40.cal"</f>
        <v>C:\TOC3201\CalCurves\Itamar\C_cal_100ppm_acid_laurel.2019_08_15_10_24_40.cal</v>
      </c>
      <c r="G203">
        <v>1</v>
      </c>
      <c r="H203" t="str">
        <f>""</f>
        <v/>
      </c>
      <c r="I203" t="str">
        <f>"8/15/2019 9:09:44 PM"</f>
        <v>8/15/2019 9:09:44 PM</v>
      </c>
      <c r="J203" t="str">
        <f>"1"</f>
        <v>1</v>
      </c>
      <c r="K203" t="str">
        <f>"3"</f>
        <v>3</v>
      </c>
      <c r="L203" t="str">
        <f>"NPOC"</f>
        <v>NPOC</v>
      </c>
      <c r="M203" t="str">
        <f>"0.000"</f>
        <v>0.000</v>
      </c>
      <c r="N203" t="str">
        <f>"0.06002"</f>
        <v>0.06002</v>
      </c>
      <c r="O203" t="str">
        <f>"NPOC:0.06002mg/L TN:0.1609mg/L"</f>
        <v>NPOC:0.06002mg/L TN:0.1609mg/L</v>
      </c>
      <c r="P203">
        <v>0</v>
      </c>
      <c r="Q203" t="str">
        <f>"80"</f>
        <v>80</v>
      </c>
    </row>
    <row r="204" spans="1:17" x14ac:dyDescent="0.2">
      <c r="A204" t="str">
        <f>"Unknown"</f>
        <v>Unknown</v>
      </c>
      <c r="B204" t="str">
        <f>"NPOC/TN"</f>
        <v>NPOC/TN</v>
      </c>
      <c r="C204" t="str">
        <f>"DI"</f>
        <v>DI</v>
      </c>
      <c r="D204" t="str">
        <f>"DI"</f>
        <v>DI</v>
      </c>
      <c r="E204" t="str">
        <f>"C:\TOC3201\Methods\Itamar\acid_sample.met"</f>
        <v>C:\TOC3201\Methods\Itamar\acid_sample.met</v>
      </c>
      <c r="F204" t="str">
        <f>"C:\TOC3201\CalCurves\Itamar\N_cal_25ppm_acid_laurel.2019_08_15_12_20_41.cal"</f>
        <v>C:\TOC3201\CalCurves\Itamar\N_cal_25ppm_acid_laurel.2019_08_15_12_20_41.cal</v>
      </c>
      <c r="G204">
        <v>1</v>
      </c>
      <c r="H204" t="str">
        <f>""</f>
        <v/>
      </c>
      <c r="I204" t="str">
        <f>"8/15/2019 9:05:37 PM"</f>
        <v>8/15/2019 9:05:37 PM</v>
      </c>
      <c r="J204" t="str">
        <f>"1"</f>
        <v>1</v>
      </c>
      <c r="K204" t="str">
        <f>"1"</f>
        <v>1</v>
      </c>
      <c r="L204" t="str">
        <f>"TN"</f>
        <v>TN</v>
      </c>
      <c r="M204" t="str">
        <f>"0.000"</f>
        <v>0.000</v>
      </c>
      <c r="N204" t="str">
        <f>"0.1609"</f>
        <v>0.1609</v>
      </c>
      <c r="O204" t="str">
        <f>"NPOC:0.06002mg/L TN:0.1609mg/L"</f>
        <v>NPOC:0.06002mg/L TN:0.1609mg/L</v>
      </c>
      <c r="P204">
        <v>0</v>
      </c>
      <c r="Q204" t="str">
        <f>"80"</f>
        <v>80</v>
      </c>
    </row>
    <row r="205" spans="1:17" x14ac:dyDescent="0.2">
      <c r="A205" t="str">
        <f>"Unknown"</f>
        <v>Unknown</v>
      </c>
      <c r="B205" t="str">
        <f>"NPOC/TN"</f>
        <v>NPOC/TN</v>
      </c>
      <c r="C205" t="str">
        <f>"DI"</f>
        <v>DI</v>
      </c>
      <c r="D205" t="str">
        <f>"DI"</f>
        <v>DI</v>
      </c>
      <c r="E205" t="str">
        <f>"C:\TOC3201\Methods\Itamar\acid_sample.met"</f>
        <v>C:\TOC3201\Methods\Itamar\acid_sample.met</v>
      </c>
      <c r="F205" t="str">
        <f>"C:\TOC3201\CalCurves\Itamar\N_cal_25ppm_acid_laurel.2019_08_15_12_20_41.cal"</f>
        <v>C:\TOC3201\CalCurves\Itamar\N_cal_25ppm_acid_laurel.2019_08_15_12_20_41.cal</v>
      </c>
      <c r="G205">
        <v>1</v>
      </c>
      <c r="H205" t="str">
        <f>""</f>
        <v/>
      </c>
      <c r="I205" t="str">
        <f>"8/15/2019 9:07:41 PM"</f>
        <v>8/15/2019 9:07:41 PM</v>
      </c>
      <c r="J205" t="str">
        <f>"1"</f>
        <v>1</v>
      </c>
      <c r="K205" t="str">
        <f>"2"</f>
        <v>2</v>
      </c>
      <c r="L205" t="str">
        <f>"TN"</f>
        <v>TN</v>
      </c>
      <c r="M205" t="str">
        <f>"0.000"</f>
        <v>0.000</v>
      </c>
      <c r="N205" t="str">
        <f>"0.1609"</f>
        <v>0.1609</v>
      </c>
      <c r="O205" t="str">
        <f>"NPOC:0.06002mg/L TN:0.1609mg/L"</f>
        <v>NPOC:0.06002mg/L TN:0.1609mg/L</v>
      </c>
      <c r="P205">
        <v>0</v>
      </c>
      <c r="Q205" t="str">
        <f>"80"</f>
        <v>80</v>
      </c>
    </row>
    <row r="206" spans="1:17" x14ac:dyDescent="0.2">
      <c r="A206" t="str">
        <f>"Unknown"</f>
        <v>Unknown</v>
      </c>
      <c r="B206" t="str">
        <f>"NPOC/TN"</f>
        <v>NPOC/TN</v>
      </c>
      <c r="C206" t="str">
        <f>"DI"</f>
        <v>DI</v>
      </c>
      <c r="D206" t="str">
        <f>"DI"</f>
        <v>DI</v>
      </c>
      <c r="E206" t="str">
        <f>"C:\TOC3201\Methods\Itamar\acid_sample.met"</f>
        <v>C:\TOC3201\Methods\Itamar\acid_sample.met</v>
      </c>
      <c r="F206" t="str">
        <f>"C:\TOC3201\CalCurves\Itamar\N_cal_25ppm_acid_laurel.2019_08_15_12_20_41.cal"</f>
        <v>C:\TOC3201\CalCurves\Itamar\N_cal_25ppm_acid_laurel.2019_08_15_12_20_41.cal</v>
      </c>
      <c r="G206">
        <v>1</v>
      </c>
      <c r="H206" t="str">
        <f>""</f>
        <v/>
      </c>
      <c r="I206" t="str">
        <f>"8/15/2019 9:09:44 PM"</f>
        <v>8/15/2019 9:09:44 PM</v>
      </c>
      <c r="J206" t="str">
        <f>"1"</f>
        <v>1</v>
      </c>
      <c r="K206" t="str">
        <f>"3"</f>
        <v>3</v>
      </c>
      <c r="L206" t="str">
        <f>"TN"</f>
        <v>TN</v>
      </c>
      <c r="M206" t="str">
        <f>"0.000"</f>
        <v>0.000</v>
      </c>
      <c r="N206" t="str">
        <f>"0.1609"</f>
        <v>0.1609</v>
      </c>
      <c r="O206" t="str">
        <f>"NPOC:0.06002mg/L TN:0.1609mg/L"</f>
        <v>NPOC:0.06002mg/L TN:0.1609mg/L</v>
      </c>
      <c r="P206">
        <v>0</v>
      </c>
      <c r="Q206" t="str">
        <f>"80"</f>
        <v>80</v>
      </c>
    </row>
    <row r="207" spans="1:17" x14ac:dyDescent="0.2">
      <c r="A207" t="str">
        <f>"Unknown"</f>
        <v>Unknown</v>
      </c>
      <c r="B207" t="str">
        <f>"NPOC/TN"</f>
        <v>NPOC/TN</v>
      </c>
      <c r="C207" t="str">
        <f>"25ppm"</f>
        <v>25ppm</v>
      </c>
      <c r="D207" t="str">
        <f>"25ppm"</f>
        <v>25ppm</v>
      </c>
      <c r="E207" t="str">
        <f>"C:\TOC3201\Methods\Itamar\acid_sample.met"</f>
        <v>C:\TOC3201\Methods\Itamar\acid_sample.met</v>
      </c>
      <c r="F207" t="str">
        <f>"C:\TOC3201\CalCurves\Itamar\C_standard.2019_06_24_14_52_38.cal"</f>
        <v>C:\TOC3201\CalCurves\Itamar\C_standard.2019_06_24_14_52_38.cal</v>
      </c>
      <c r="G207">
        <v>1</v>
      </c>
      <c r="H207" t="str">
        <f>""</f>
        <v/>
      </c>
      <c r="I207" t="str">
        <f>"8/15/2019 9:19:51 PM"</f>
        <v>8/15/2019 9:19:51 PM</v>
      </c>
      <c r="J207" t="str">
        <f>"1"</f>
        <v>1</v>
      </c>
      <c r="K207" t="str">
        <f>"1"</f>
        <v>1</v>
      </c>
      <c r="L207" t="str">
        <f>"NPOC"</f>
        <v>NPOC</v>
      </c>
      <c r="M207" t="str">
        <f>"111.0"</f>
        <v>111.0</v>
      </c>
      <c r="N207" t="str">
        <f>"37.23"</f>
        <v>37.23</v>
      </c>
      <c r="O207" t="str">
        <f>"NPOC:35.42mg/L TN:24.42mg/L"</f>
        <v>NPOC:35.42mg/L TN:24.42mg/L</v>
      </c>
      <c r="P207">
        <v>0</v>
      </c>
      <c r="Q207" t="str">
        <f>"80"</f>
        <v>80</v>
      </c>
    </row>
    <row r="208" spans="1:17" x14ac:dyDescent="0.2">
      <c r="A208" t="str">
        <f>"Unknown"</f>
        <v>Unknown</v>
      </c>
      <c r="B208" t="str">
        <f>"NPOC/TN"</f>
        <v>NPOC/TN</v>
      </c>
      <c r="C208" t="str">
        <f>"25ppm"</f>
        <v>25ppm</v>
      </c>
      <c r="D208" t="str">
        <f>"25ppm"</f>
        <v>25ppm</v>
      </c>
      <c r="E208" t="str">
        <f>"C:\TOC3201\Methods\Itamar\acid_sample.met"</f>
        <v>C:\TOC3201\Methods\Itamar\acid_sample.met</v>
      </c>
      <c r="F208" t="str">
        <f>"C:\TOC3201\CalCurves\Itamar\C_standard.2019_06_24_14_52_38.cal"</f>
        <v>C:\TOC3201\CalCurves\Itamar\C_standard.2019_06_24_14_52_38.cal</v>
      </c>
      <c r="G208">
        <v>1</v>
      </c>
      <c r="H208" t="str">
        <f>""</f>
        <v/>
      </c>
      <c r="I208" t="str">
        <f>"8/15/2019 9:23:39 PM"</f>
        <v>8/15/2019 9:23:39 PM</v>
      </c>
      <c r="J208" t="str">
        <f>"1"</f>
        <v>1</v>
      </c>
      <c r="K208" t="str">
        <f>"2"</f>
        <v>2</v>
      </c>
      <c r="L208" t="str">
        <f>"NPOC"</f>
        <v>NPOC</v>
      </c>
      <c r="M208" t="str">
        <f>"108.1"</f>
        <v>108.1</v>
      </c>
      <c r="N208" t="str">
        <f>"39.77"</f>
        <v>39.77</v>
      </c>
      <c r="O208" t="str">
        <f>"NPOC:35.42mg/L TN:24.42mg/L"</f>
        <v>NPOC:35.42mg/L TN:24.42mg/L</v>
      </c>
      <c r="P208">
        <v>1</v>
      </c>
      <c r="Q208" t="str">
        <f>"80"</f>
        <v>80</v>
      </c>
    </row>
    <row r="209" spans="1:17" x14ac:dyDescent="0.2">
      <c r="A209" t="str">
        <f>"Unknown"</f>
        <v>Unknown</v>
      </c>
      <c r="B209" t="str">
        <f>"NPOC/TN"</f>
        <v>NPOC/TN</v>
      </c>
      <c r="C209" t="str">
        <f>"25ppm"</f>
        <v>25ppm</v>
      </c>
      <c r="D209" t="str">
        <f>"25ppm"</f>
        <v>25ppm</v>
      </c>
      <c r="E209" t="str">
        <f>"C:\TOC3201\Methods\Itamar\acid_sample.met"</f>
        <v>C:\TOC3201\Methods\Itamar\acid_sample.met</v>
      </c>
      <c r="F209" t="str">
        <f>"C:\TOC3201\CalCurves\Itamar\C_standard.2019_06_24_14_52_38.cal"</f>
        <v>C:\TOC3201\CalCurves\Itamar\C_standard.2019_06_24_14_52_38.cal</v>
      </c>
      <c r="G209">
        <v>1</v>
      </c>
      <c r="H209" t="str">
        <f>""</f>
        <v/>
      </c>
      <c r="I209" t="str">
        <f>"8/15/2019 9:27:18 PM"</f>
        <v>8/15/2019 9:27:18 PM</v>
      </c>
      <c r="J209" t="str">
        <f>"1"</f>
        <v>1</v>
      </c>
      <c r="K209" t="str">
        <f>"3"</f>
        <v>3</v>
      </c>
      <c r="L209" t="str">
        <f>"NPOC"</f>
        <v>NPOC</v>
      </c>
      <c r="M209" t="str">
        <f>"114.3"</f>
        <v>114.3</v>
      </c>
      <c r="N209" t="str">
        <f>"34.34"</f>
        <v>34.34</v>
      </c>
      <c r="O209" t="str">
        <f>"NPOC:35.42mg/L TN:24.42mg/L"</f>
        <v>NPOC:35.42mg/L TN:24.42mg/L</v>
      </c>
      <c r="P209">
        <v>0</v>
      </c>
      <c r="Q209" t="str">
        <f>"80"</f>
        <v>80</v>
      </c>
    </row>
    <row r="210" spans="1:17" x14ac:dyDescent="0.2">
      <c r="A210" t="str">
        <f>"Unknown"</f>
        <v>Unknown</v>
      </c>
      <c r="B210" t="str">
        <f>"NPOC/TN"</f>
        <v>NPOC/TN</v>
      </c>
      <c r="C210" t="str">
        <f>"25ppm"</f>
        <v>25ppm</v>
      </c>
      <c r="D210" t="str">
        <f>"25ppm"</f>
        <v>25ppm</v>
      </c>
      <c r="E210" t="str">
        <f>"C:\TOC3201\Methods\Itamar\acid_sample.met"</f>
        <v>C:\TOC3201\Methods\Itamar\acid_sample.met</v>
      </c>
      <c r="F210" t="str">
        <f>"C:\TOC3201\CalCurves\Itamar\C_standard.2019_06_24_14_52_38.cal"</f>
        <v>C:\TOC3201\CalCurves\Itamar\C_standard.2019_06_24_14_52_38.cal</v>
      </c>
      <c r="G210">
        <v>1</v>
      </c>
      <c r="H210" t="str">
        <f>""</f>
        <v/>
      </c>
      <c r="I210" t="str">
        <f>"8/15/2019 9:31:02 PM"</f>
        <v>8/15/2019 9:31:02 PM</v>
      </c>
      <c r="J210" t="str">
        <f>"1"</f>
        <v>1</v>
      </c>
      <c r="K210" t="str">
        <f>"4"</f>
        <v>4</v>
      </c>
      <c r="L210" t="str">
        <f>"NPOC"</f>
        <v>NPOC</v>
      </c>
      <c r="M210" t="str">
        <f>"113.9"</f>
        <v>113.9</v>
      </c>
      <c r="N210" t="str">
        <f>"34.69"</f>
        <v>34.69</v>
      </c>
      <c r="O210" t="str">
        <f>"NPOC:35.42mg/L TN:24.42mg/L"</f>
        <v>NPOC:35.42mg/L TN:24.42mg/L</v>
      </c>
      <c r="P210">
        <v>0</v>
      </c>
      <c r="Q210" t="str">
        <f>"80"</f>
        <v>80</v>
      </c>
    </row>
    <row r="211" spans="1:17" x14ac:dyDescent="0.2">
      <c r="A211" t="str">
        <f>"Unknown"</f>
        <v>Unknown</v>
      </c>
      <c r="B211" t="str">
        <f>"NPOC/TN"</f>
        <v>NPOC/TN</v>
      </c>
      <c r="C211" t="str">
        <f>"25ppm"</f>
        <v>25ppm</v>
      </c>
      <c r="D211" t="str">
        <f>"25ppm"</f>
        <v>25ppm</v>
      </c>
      <c r="E211" t="str">
        <f>"C:\TOC3201\Methods\Itamar\acid_sample.met"</f>
        <v>C:\TOC3201\Methods\Itamar\acid_sample.met</v>
      </c>
      <c r="F211" t="str">
        <f>"C:\TOC3201\CalCurves\Itamar\N_cal_25ppm_acid_laurel.2019_08_15_12_20_41.cal"</f>
        <v>C:\TOC3201\CalCurves\Itamar\N_cal_25ppm_acid_laurel.2019_08_15_12_20_41.cal</v>
      </c>
      <c r="G211">
        <v>1</v>
      </c>
      <c r="H211" t="str">
        <f>""</f>
        <v/>
      </c>
      <c r="I211" t="str">
        <f>"8/15/2019 9:19:51 PM"</f>
        <v>8/15/2019 9:19:51 PM</v>
      </c>
      <c r="J211" t="str">
        <f>"1"</f>
        <v>1</v>
      </c>
      <c r="K211" t="str">
        <f>"1"</f>
        <v>1</v>
      </c>
      <c r="L211" t="str">
        <f>"TN"</f>
        <v>TN</v>
      </c>
      <c r="M211" t="str">
        <f>"94.92"</f>
        <v>94.92</v>
      </c>
      <c r="N211" t="str">
        <f>"24.35"</f>
        <v>24.35</v>
      </c>
      <c r="O211" t="str">
        <f>"NPOC:35.42mg/L TN:24.42mg/L"</f>
        <v>NPOC:35.42mg/L TN:24.42mg/L</v>
      </c>
      <c r="P211">
        <v>0</v>
      </c>
      <c r="Q211" t="str">
        <f>"80"</f>
        <v>80</v>
      </c>
    </row>
    <row r="212" spans="1:17" x14ac:dyDescent="0.2">
      <c r="A212" t="str">
        <f>"Unknown"</f>
        <v>Unknown</v>
      </c>
      <c r="B212" t="str">
        <f>"NPOC/TN"</f>
        <v>NPOC/TN</v>
      </c>
      <c r="C212" t="str">
        <f>"25ppm"</f>
        <v>25ppm</v>
      </c>
      <c r="D212" t="str">
        <f>"25ppm"</f>
        <v>25ppm</v>
      </c>
      <c r="E212" t="str">
        <f>"C:\TOC3201\Methods\Itamar\acid_sample.met"</f>
        <v>C:\TOC3201\Methods\Itamar\acid_sample.met</v>
      </c>
      <c r="F212" t="str">
        <f>"C:\TOC3201\CalCurves\Itamar\N_cal_25ppm_acid_laurel.2019_08_15_12_20_41.cal"</f>
        <v>C:\TOC3201\CalCurves\Itamar\N_cal_25ppm_acid_laurel.2019_08_15_12_20_41.cal</v>
      </c>
      <c r="G212">
        <v>1</v>
      </c>
      <c r="H212" t="str">
        <f>""</f>
        <v/>
      </c>
      <c r="I212" t="str">
        <f>"8/15/2019 9:23:39 PM"</f>
        <v>8/15/2019 9:23:39 PM</v>
      </c>
      <c r="J212" t="str">
        <f>"1"</f>
        <v>1</v>
      </c>
      <c r="K212" t="str">
        <f>"2"</f>
        <v>2</v>
      </c>
      <c r="L212" t="str">
        <f>"TN"</f>
        <v>TN</v>
      </c>
      <c r="M212" t="str">
        <f>"93.78"</f>
        <v>93.78</v>
      </c>
      <c r="N212" t="str">
        <f>"24.06"</f>
        <v>24.06</v>
      </c>
      <c r="O212" t="str">
        <f>"NPOC:35.42mg/L TN:24.42mg/L"</f>
        <v>NPOC:35.42mg/L TN:24.42mg/L</v>
      </c>
      <c r="P212">
        <v>0</v>
      </c>
      <c r="Q212" t="str">
        <f>"80"</f>
        <v>80</v>
      </c>
    </row>
    <row r="213" spans="1:17" x14ac:dyDescent="0.2">
      <c r="A213" t="str">
        <f>"Unknown"</f>
        <v>Unknown</v>
      </c>
      <c r="B213" t="str">
        <f>"NPOC/TN"</f>
        <v>NPOC/TN</v>
      </c>
      <c r="C213" t="str">
        <f>"25ppm"</f>
        <v>25ppm</v>
      </c>
      <c r="D213" t="str">
        <f>"25ppm"</f>
        <v>25ppm</v>
      </c>
      <c r="E213" t="str">
        <f>"C:\TOC3201\Methods\Itamar\acid_sample.met"</f>
        <v>C:\TOC3201\Methods\Itamar\acid_sample.met</v>
      </c>
      <c r="F213" t="str">
        <f>"C:\TOC3201\CalCurves\Itamar\N_cal_25ppm_acid_laurel.2019_08_15_12_20_41.cal"</f>
        <v>C:\TOC3201\CalCurves\Itamar\N_cal_25ppm_acid_laurel.2019_08_15_12_20_41.cal</v>
      </c>
      <c r="G213">
        <v>1</v>
      </c>
      <c r="H213" t="str">
        <f>""</f>
        <v/>
      </c>
      <c r="I213" t="str">
        <f>"8/15/2019 9:27:18 PM"</f>
        <v>8/15/2019 9:27:18 PM</v>
      </c>
      <c r="J213" t="str">
        <f>"1"</f>
        <v>1</v>
      </c>
      <c r="K213" t="str">
        <f>"3"</f>
        <v>3</v>
      </c>
      <c r="L213" t="str">
        <f>"TN"</f>
        <v>TN</v>
      </c>
      <c r="M213" t="str">
        <f>"98.14"</f>
        <v>98.14</v>
      </c>
      <c r="N213" t="str">
        <f>"25.17"</f>
        <v>25.17</v>
      </c>
      <c r="O213" t="str">
        <f>"NPOC:35.42mg/L TN:24.42mg/L"</f>
        <v>NPOC:35.42mg/L TN:24.42mg/L</v>
      </c>
      <c r="P213">
        <v>1</v>
      </c>
      <c r="Q213" t="str">
        <f>"80"</f>
        <v>80</v>
      </c>
    </row>
    <row r="214" spans="1:17" x14ac:dyDescent="0.2">
      <c r="A214" t="str">
        <f>"Unknown"</f>
        <v>Unknown</v>
      </c>
      <c r="B214" t="str">
        <f>"NPOC/TN"</f>
        <v>NPOC/TN</v>
      </c>
      <c r="C214" t="str">
        <f>"25ppm"</f>
        <v>25ppm</v>
      </c>
      <c r="D214" t="str">
        <f>"25ppm"</f>
        <v>25ppm</v>
      </c>
      <c r="E214" t="str">
        <f>"C:\TOC3201\Methods\Itamar\acid_sample.met"</f>
        <v>C:\TOC3201\Methods\Itamar\acid_sample.met</v>
      </c>
      <c r="F214" t="str">
        <f>"C:\TOC3201\CalCurves\Itamar\N_cal_25ppm_acid_laurel.2019_08_15_12_20_41.cal"</f>
        <v>C:\TOC3201\CalCurves\Itamar\N_cal_25ppm_acid_laurel.2019_08_15_12_20_41.cal</v>
      </c>
      <c r="G214">
        <v>1</v>
      </c>
      <c r="H214" t="str">
        <f>""</f>
        <v/>
      </c>
      <c r="I214" t="str">
        <f>"8/15/2019 9:31:02 PM"</f>
        <v>8/15/2019 9:31:02 PM</v>
      </c>
      <c r="J214" t="str">
        <f>"1"</f>
        <v>1</v>
      </c>
      <c r="K214" t="str">
        <f>"4"</f>
        <v>4</v>
      </c>
      <c r="L214" t="str">
        <f>"TN"</f>
        <v>TN</v>
      </c>
      <c r="M214" t="str">
        <f>"96.92"</f>
        <v>96.92</v>
      </c>
      <c r="N214" t="str">
        <f>"24.86"</f>
        <v>24.86</v>
      </c>
      <c r="O214" t="str">
        <f>"NPOC:35.42mg/L TN:24.42mg/L"</f>
        <v>NPOC:35.42mg/L TN:24.42mg/L</v>
      </c>
      <c r="P214">
        <v>0</v>
      </c>
      <c r="Q214" t="str">
        <f>"80"</f>
        <v>80</v>
      </c>
    </row>
    <row r="215" spans="1:17" x14ac:dyDescent="0.2">
      <c r="A215" t="str">
        <f>"Unknown"</f>
        <v>Unknown</v>
      </c>
      <c r="B215" t="str">
        <f>"NPOC/TN"</f>
        <v>NPOC/TN</v>
      </c>
      <c r="C215" t="str">
        <f>"1075"</f>
        <v>1075</v>
      </c>
      <c r="D215" t="str">
        <f>"16"</f>
        <v>16</v>
      </c>
      <c r="E215" t="str">
        <f>"C:\TOC3201\Methods\Itamar\acid_sample.met"</f>
        <v>C:\TOC3201\Methods\Itamar\acid_sample.met</v>
      </c>
      <c r="F215" t="str">
        <f>"C:\TOC3201\CalCurves\Itamar\C_cal_100ppm_acid_laurel.2019_08_15_10_24_40.cal"</f>
        <v>C:\TOC3201\CalCurves\Itamar\C_cal_100ppm_acid_laurel.2019_08_15_10_24_40.cal</v>
      </c>
      <c r="G215">
        <v>1</v>
      </c>
      <c r="H215" t="str">
        <f>""</f>
        <v/>
      </c>
      <c r="I215" t="str">
        <f>"8/15/2019 9:41:11 PM"</f>
        <v>8/15/2019 9:41:11 PM</v>
      </c>
      <c r="J215" t="str">
        <f>"1"</f>
        <v>1</v>
      </c>
      <c r="K215" t="str">
        <f>"1"</f>
        <v>1</v>
      </c>
      <c r="L215" t="str">
        <f>"NPOC"</f>
        <v>NPOC</v>
      </c>
      <c r="M215" t="str">
        <f>"48.34"</f>
        <v>48.34</v>
      </c>
      <c r="N215" t="str">
        <f>"9.987"</f>
        <v>9.987</v>
      </c>
      <c r="O215" t="str">
        <f>"NPOC:10.15mg/L TN:0.7164mg/L"</f>
        <v>NPOC:10.15mg/L TN:0.7164mg/L</v>
      </c>
      <c r="P215">
        <v>0</v>
      </c>
      <c r="Q215" t="str">
        <f>"80"</f>
        <v>80</v>
      </c>
    </row>
    <row r="216" spans="1:17" x14ac:dyDescent="0.2">
      <c r="A216" t="str">
        <f>"Unknown"</f>
        <v>Unknown</v>
      </c>
      <c r="B216" t="str">
        <f>"NPOC/TN"</f>
        <v>NPOC/TN</v>
      </c>
      <c r="C216" t="str">
        <f>"1075"</f>
        <v>1075</v>
      </c>
      <c r="D216" t="str">
        <f>"16"</f>
        <v>16</v>
      </c>
      <c r="E216" t="str">
        <f>"C:\TOC3201\Methods\Itamar\acid_sample.met"</f>
        <v>C:\TOC3201\Methods\Itamar\acid_sample.met</v>
      </c>
      <c r="F216" t="str">
        <f>"C:\TOC3201\CalCurves\Itamar\C_cal_100ppm_acid_laurel.2019_08_15_10_24_40.cal"</f>
        <v>C:\TOC3201\CalCurves\Itamar\C_cal_100ppm_acid_laurel.2019_08_15_10_24_40.cal</v>
      </c>
      <c r="G216">
        <v>1</v>
      </c>
      <c r="H216" t="str">
        <f>""</f>
        <v/>
      </c>
      <c r="I216" t="str">
        <f>"8/15/2019 9:44:30 PM"</f>
        <v>8/15/2019 9:44:30 PM</v>
      </c>
      <c r="J216" t="str">
        <f>"1"</f>
        <v>1</v>
      </c>
      <c r="K216" t="str">
        <f>"2"</f>
        <v>2</v>
      </c>
      <c r="L216" t="str">
        <f>"NPOC"</f>
        <v>NPOC</v>
      </c>
      <c r="M216" t="str">
        <f>"47.26"</f>
        <v>47.26</v>
      </c>
      <c r="N216" t="str">
        <f>"9.765"</f>
        <v>9.765</v>
      </c>
      <c r="O216" t="str">
        <f>"NPOC:10.15mg/L TN:0.7164mg/L"</f>
        <v>NPOC:10.15mg/L TN:0.7164mg/L</v>
      </c>
      <c r="P216">
        <v>1</v>
      </c>
      <c r="Q216" t="str">
        <f>"80"</f>
        <v>80</v>
      </c>
    </row>
    <row r="217" spans="1:17" x14ac:dyDescent="0.2">
      <c r="A217" t="str">
        <f>"Unknown"</f>
        <v>Unknown</v>
      </c>
      <c r="B217" t="str">
        <f>"NPOC/TN"</f>
        <v>NPOC/TN</v>
      </c>
      <c r="C217" t="str">
        <f>"1075"</f>
        <v>1075</v>
      </c>
      <c r="D217" t="str">
        <f>"16"</f>
        <v>16</v>
      </c>
      <c r="E217" t="str">
        <f>"C:\TOC3201\Methods\Itamar\acid_sample.met"</f>
        <v>C:\TOC3201\Methods\Itamar\acid_sample.met</v>
      </c>
      <c r="F217" t="str">
        <f>"C:\TOC3201\CalCurves\Itamar\C_cal_100ppm_acid_laurel.2019_08_15_10_24_40.cal"</f>
        <v>C:\TOC3201\CalCurves\Itamar\C_cal_100ppm_acid_laurel.2019_08_15_10_24_40.cal</v>
      </c>
      <c r="G217">
        <v>1</v>
      </c>
      <c r="H217" t="str">
        <f>""</f>
        <v/>
      </c>
      <c r="I217" t="str">
        <f>"8/15/2019 9:47:51 PM"</f>
        <v>8/15/2019 9:47:51 PM</v>
      </c>
      <c r="J217" t="str">
        <f>"1"</f>
        <v>1</v>
      </c>
      <c r="K217" t="str">
        <f>"3"</f>
        <v>3</v>
      </c>
      <c r="L217" t="str">
        <f>"NPOC"</f>
        <v>NPOC</v>
      </c>
      <c r="M217" t="str">
        <f>"50.07"</f>
        <v>50.07</v>
      </c>
      <c r="N217" t="str">
        <f>"10.34"</f>
        <v>10.34</v>
      </c>
      <c r="O217" t="str">
        <f>"NPOC:10.15mg/L TN:0.7164mg/L"</f>
        <v>NPOC:10.15mg/L TN:0.7164mg/L</v>
      </c>
      <c r="P217">
        <v>0</v>
      </c>
      <c r="Q217" t="str">
        <f>"80"</f>
        <v>80</v>
      </c>
    </row>
    <row r="218" spans="1:17" x14ac:dyDescent="0.2">
      <c r="A218" t="str">
        <f>"Unknown"</f>
        <v>Unknown</v>
      </c>
      <c r="B218" t="str">
        <f>"NPOC/TN"</f>
        <v>NPOC/TN</v>
      </c>
      <c r="C218" t="str">
        <f>"1075"</f>
        <v>1075</v>
      </c>
      <c r="D218" t="str">
        <f>"16"</f>
        <v>16</v>
      </c>
      <c r="E218" t="str">
        <f>"C:\TOC3201\Methods\Itamar\acid_sample.met"</f>
        <v>C:\TOC3201\Methods\Itamar\acid_sample.met</v>
      </c>
      <c r="F218" t="str">
        <f>"C:\TOC3201\CalCurves\Itamar\C_cal_100ppm_acid_laurel.2019_08_15_10_24_40.cal"</f>
        <v>C:\TOC3201\CalCurves\Itamar\C_cal_100ppm_acid_laurel.2019_08_15_10_24_40.cal</v>
      </c>
      <c r="G218">
        <v>1</v>
      </c>
      <c r="H218" t="str">
        <f>""</f>
        <v/>
      </c>
      <c r="I218" t="str">
        <f>"8/15/2019 9:51:08 PM"</f>
        <v>8/15/2019 9:51:08 PM</v>
      </c>
      <c r="J218" t="str">
        <f>"1"</f>
        <v>1</v>
      </c>
      <c r="K218" t="str">
        <f>"4"</f>
        <v>4</v>
      </c>
      <c r="L218" t="str">
        <f>"NPOC"</f>
        <v>NPOC</v>
      </c>
      <c r="M218" t="str">
        <f>"49.05"</f>
        <v>49.05</v>
      </c>
      <c r="N218" t="str">
        <f>"10.13"</f>
        <v>10.13</v>
      </c>
      <c r="O218" t="str">
        <f>"NPOC:10.15mg/L TN:0.7164mg/L"</f>
        <v>NPOC:10.15mg/L TN:0.7164mg/L</v>
      </c>
      <c r="P218">
        <v>0</v>
      </c>
      <c r="Q218" t="str">
        <f>"80"</f>
        <v>80</v>
      </c>
    </row>
    <row r="219" spans="1:17" x14ac:dyDescent="0.2">
      <c r="A219" t="str">
        <f>"Unknown"</f>
        <v>Unknown</v>
      </c>
      <c r="B219" t="str">
        <f>"NPOC/TN"</f>
        <v>NPOC/TN</v>
      </c>
      <c r="C219" t="str">
        <f>"1075"</f>
        <v>1075</v>
      </c>
      <c r="D219" t="str">
        <f>"16"</f>
        <v>16</v>
      </c>
      <c r="E219" t="str">
        <f>"C:\TOC3201\Methods\Itamar\acid_sample.met"</f>
        <v>C:\TOC3201\Methods\Itamar\acid_sample.met</v>
      </c>
      <c r="F219" t="str">
        <f>"C:\TOC3201\CalCurves\Itamar\N_cal_25ppm_acid_laurel.2019_08_15_12_20_41.cal"</f>
        <v>C:\TOC3201\CalCurves\Itamar\N_cal_25ppm_acid_laurel.2019_08_15_12_20_41.cal</v>
      </c>
      <c r="G219">
        <v>1</v>
      </c>
      <c r="H219" t="str">
        <f>""</f>
        <v/>
      </c>
      <c r="I219" t="str">
        <f>"8/15/2019 9:41:11 PM"</f>
        <v>8/15/2019 9:41:11 PM</v>
      </c>
      <c r="J219" t="str">
        <f>"1"</f>
        <v>1</v>
      </c>
      <c r="K219" t="str">
        <f>"1"</f>
        <v>1</v>
      </c>
      <c r="L219" t="str">
        <f>"TN"</f>
        <v>TN</v>
      </c>
      <c r="M219" t="str">
        <f>"2.512"</f>
        <v>2.512</v>
      </c>
      <c r="N219" t="str">
        <f>"0.8009"</f>
        <v>0.8009</v>
      </c>
      <c r="O219" t="str">
        <f>"NPOC:10.15mg/L TN:0.7164mg/L"</f>
        <v>NPOC:10.15mg/L TN:0.7164mg/L</v>
      </c>
      <c r="P219">
        <v>0</v>
      </c>
      <c r="Q219" t="str">
        <f>"80"</f>
        <v>80</v>
      </c>
    </row>
    <row r="220" spans="1:17" x14ac:dyDescent="0.2">
      <c r="A220" t="str">
        <f>"Unknown"</f>
        <v>Unknown</v>
      </c>
      <c r="B220" t="str">
        <f>"NPOC/TN"</f>
        <v>NPOC/TN</v>
      </c>
      <c r="C220" t="str">
        <f>"1075"</f>
        <v>1075</v>
      </c>
      <c r="D220" t="str">
        <f>"16"</f>
        <v>16</v>
      </c>
      <c r="E220" t="str">
        <f>"C:\TOC3201\Methods\Itamar\acid_sample.met"</f>
        <v>C:\TOC3201\Methods\Itamar\acid_sample.met</v>
      </c>
      <c r="F220" t="str">
        <f>"C:\TOC3201\CalCurves\Itamar\N_cal_25ppm_acid_laurel.2019_08_15_12_20_41.cal"</f>
        <v>C:\TOC3201\CalCurves\Itamar\N_cal_25ppm_acid_laurel.2019_08_15_12_20_41.cal</v>
      </c>
      <c r="G220">
        <v>1</v>
      </c>
      <c r="H220" t="str">
        <f>""</f>
        <v/>
      </c>
      <c r="I220" t="str">
        <f>"8/15/2019 9:44:30 PM"</f>
        <v>8/15/2019 9:44:30 PM</v>
      </c>
      <c r="J220" t="str">
        <f>"1"</f>
        <v>1</v>
      </c>
      <c r="K220" t="str">
        <f>"2"</f>
        <v>2</v>
      </c>
      <c r="L220" t="str">
        <f>"TN"</f>
        <v>TN</v>
      </c>
      <c r="M220" t="str">
        <f>"2.623"</f>
        <v>2.623</v>
      </c>
      <c r="N220" t="str">
        <f>"0.8292"</f>
        <v>0.8292</v>
      </c>
      <c r="O220" t="str">
        <f>"NPOC:10.15mg/L TN:0.7164mg/L"</f>
        <v>NPOC:10.15mg/L TN:0.7164mg/L</v>
      </c>
      <c r="P220">
        <v>1</v>
      </c>
      <c r="Q220" t="str">
        <f>"80"</f>
        <v>80</v>
      </c>
    </row>
    <row r="221" spans="1:17" x14ac:dyDescent="0.2">
      <c r="A221" t="str">
        <f>"Unknown"</f>
        <v>Unknown</v>
      </c>
      <c r="B221" t="str">
        <f>"NPOC/TN"</f>
        <v>NPOC/TN</v>
      </c>
      <c r="C221" t="str">
        <f>"1075"</f>
        <v>1075</v>
      </c>
      <c r="D221" t="str">
        <f>"16"</f>
        <v>16</v>
      </c>
      <c r="E221" t="str">
        <f>"C:\TOC3201\Methods\Itamar\acid_sample.met"</f>
        <v>C:\TOC3201\Methods\Itamar\acid_sample.met</v>
      </c>
      <c r="F221" t="str">
        <f>"C:\TOC3201\CalCurves\Itamar\N_cal_25ppm_acid_laurel.2019_08_15_12_20_41.cal"</f>
        <v>C:\TOC3201\CalCurves\Itamar\N_cal_25ppm_acid_laurel.2019_08_15_12_20_41.cal</v>
      </c>
      <c r="G221">
        <v>1</v>
      </c>
      <c r="H221" t="str">
        <f>""</f>
        <v/>
      </c>
      <c r="I221" t="str">
        <f>"8/15/2019 9:47:51 PM"</f>
        <v>8/15/2019 9:47:51 PM</v>
      </c>
      <c r="J221" t="str">
        <f>"1"</f>
        <v>1</v>
      </c>
      <c r="K221" t="str">
        <f>"3"</f>
        <v>3</v>
      </c>
      <c r="L221" t="str">
        <f>"TN"</f>
        <v>TN</v>
      </c>
      <c r="M221" t="str">
        <f>"1.990"</f>
        <v>1.990</v>
      </c>
      <c r="N221" t="str">
        <f>"0.6679"</f>
        <v>0.6679</v>
      </c>
      <c r="O221" t="str">
        <f>"NPOC:10.15mg/L TN:0.7164mg/L"</f>
        <v>NPOC:10.15mg/L TN:0.7164mg/L</v>
      </c>
      <c r="P221">
        <v>0</v>
      </c>
      <c r="Q221" t="str">
        <f>"80"</f>
        <v>80</v>
      </c>
    </row>
    <row r="222" spans="1:17" x14ac:dyDescent="0.2">
      <c r="A222" t="str">
        <f>"Unknown"</f>
        <v>Unknown</v>
      </c>
      <c r="B222" t="str">
        <f>"NPOC/TN"</f>
        <v>NPOC/TN</v>
      </c>
      <c r="C222" t="str">
        <f>"1075"</f>
        <v>1075</v>
      </c>
      <c r="D222" t="str">
        <f>"16"</f>
        <v>16</v>
      </c>
      <c r="E222" t="str">
        <f>"C:\TOC3201\Methods\Itamar\acid_sample.met"</f>
        <v>C:\TOC3201\Methods\Itamar\acid_sample.met</v>
      </c>
      <c r="F222" t="str">
        <f>"C:\TOC3201\CalCurves\Itamar\N_cal_25ppm_acid_laurel.2019_08_15_12_20_41.cal"</f>
        <v>C:\TOC3201\CalCurves\Itamar\N_cal_25ppm_acid_laurel.2019_08_15_12_20_41.cal</v>
      </c>
      <c r="G222">
        <v>1</v>
      </c>
      <c r="H222" t="str">
        <f>""</f>
        <v/>
      </c>
      <c r="I222" t="str">
        <f>"8/15/2019 9:51:08 PM"</f>
        <v>8/15/2019 9:51:08 PM</v>
      </c>
      <c r="J222" t="str">
        <f>"1"</f>
        <v>1</v>
      </c>
      <c r="K222" t="str">
        <f>"4"</f>
        <v>4</v>
      </c>
      <c r="L222" t="str">
        <f>"TN"</f>
        <v>TN</v>
      </c>
      <c r="M222" t="str">
        <f>"2.039"</f>
        <v>2.039</v>
      </c>
      <c r="N222" t="str">
        <f>"0.6804"</f>
        <v>0.6804</v>
      </c>
      <c r="O222" t="str">
        <f>"NPOC:10.15mg/L TN:0.7164mg/L"</f>
        <v>NPOC:10.15mg/L TN:0.7164mg/L</v>
      </c>
      <c r="P222">
        <v>0</v>
      </c>
      <c r="Q222" t="str">
        <f>"80"</f>
        <v>80</v>
      </c>
    </row>
    <row r="223" spans="1:17" x14ac:dyDescent="0.2">
      <c r="A223" t="str">
        <f>"Unknown"</f>
        <v>Unknown</v>
      </c>
      <c r="B223" t="str">
        <f>"NPOC/TN"</f>
        <v>NPOC/TN</v>
      </c>
      <c r="C223" t="str">
        <f>"1075"</f>
        <v>1075</v>
      </c>
      <c r="D223" t="str">
        <f>"16"</f>
        <v>16</v>
      </c>
      <c r="E223" t="str">
        <f>"C:\TOC3201\Methods\Itamar\acid_sample.met"</f>
        <v>C:\TOC3201\Methods\Itamar\acid_sample.met</v>
      </c>
      <c r="F223" t="str">
        <f>"C:\TOC3201\CalCurves\Itamar\N_cal_25ppm_acid_laurel.2019_08_15_12_20_41.cal"</f>
        <v>C:\TOC3201\CalCurves\Itamar\N_cal_25ppm_acid_laurel.2019_08_15_12_20_41.cal</v>
      </c>
      <c r="G223">
        <v>1</v>
      </c>
      <c r="H223" t="str">
        <f>""</f>
        <v/>
      </c>
      <c r="I223" t="str">
        <f>"8/15/2019 9:55:18 PM"</f>
        <v>8/15/2019 9:55:18 PM</v>
      </c>
      <c r="J223" t="str">
        <f>"1"</f>
        <v>1</v>
      </c>
      <c r="K223" t="str">
        <f>"5"</f>
        <v>5</v>
      </c>
      <c r="L223" t="str">
        <f>"TN"</f>
        <v>TN</v>
      </c>
      <c r="M223" t="str">
        <f>"3.757"</f>
        <v>3.757</v>
      </c>
      <c r="N223" t="str">
        <f>"1.118"</f>
        <v>1.118</v>
      </c>
      <c r="O223" t="str">
        <f>"NPOC:10.15mg/L TN:0.7164mg/L"</f>
        <v>NPOC:10.15mg/L TN:0.7164mg/L</v>
      </c>
      <c r="P223">
        <v>1</v>
      </c>
      <c r="Q223" t="str">
        <f>"80"</f>
        <v>80</v>
      </c>
    </row>
    <row r="224" spans="1:17" x14ac:dyDescent="0.2">
      <c r="A224" t="str">
        <f>"Unknown"</f>
        <v>Unknown</v>
      </c>
      <c r="B224" t="str">
        <f>"NPOC/TN"</f>
        <v>NPOC/TN</v>
      </c>
      <c r="C224" t="str">
        <f>"1077"</f>
        <v>1077</v>
      </c>
      <c r="D224" t="str">
        <f>"17"</f>
        <v>17</v>
      </c>
      <c r="E224" t="str">
        <f>"C:\TOC3201\Methods\Itamar\acid_sample.met"</f>
        <v>C:\TOC3201\Methods\Itamar\acid_sample.met</v>
      </c>
      <c r="F224" t="str">
        <f>"C:\TOC3201\CalCurves\Itamar\C_cal_100ppm_acid_laurel.2019_08_15_10_24_40.cal"</f>
        <v>C:\TOC3201\CalCurves\Itamar\C_cal_100ppm_acid_laurel.2019_08_15_10_24_40.cal</v>
      </c>
      <c r="G224">
        <v>1</v>
      </c>
      <c r="H224" t="str">
        <f>""</f>
        <v/>
      </c>
      <c r="I224" t="str">
        <f>"8/15/2019 10:05:03 PM"</f>
        <v>8/15/2019 10:05:03 PM</v>
      </c>
      <c r="J224" t="str">
        <f>"1"</f>
        <v>1</v>
      </c>
      <c r="K224" t="str">
        <f>"1"</f>
        <v>1</v>
      </c>
      <c r="L224" t="str">
        <f>"NPOC"</f>
        <v>NPOC</v>
      </c>
      <c r="M224" t="str">
        <f>"48.60"</f>
        <v>48.60</v>
      </c>
      <c r="N224" t="str">
        <f>"10.04"</f>
        <v>10.04</v>
      </c>
      <c r="O224" t="str">
        <f>"NPOC:9.931mg/L TN:0.7758mg/L"</f>
        <v>NPOC:9.931mg/L TN:0.7758mg/L</v>
      </c>
      <c r="P224">
        <v>0</v>
      </c>
      <c r="Q224" t="str">
        <f>"80"</f>
        <v>80</v>
      </c>
    </row>
    <row r="225" spans="1:17" x14ac:dyDescent="0.2">
      <c r="A225" t="str">
        <f>"Unknown"</f>
        <v>Unknown</v>
      </c>
      <c r="B225" t="str">
        <f>"NPOC/TN"</f>
        <v>NPOC/TN</v>
      </c>
      <c r="C225" t="str">
        <f>"1077"</f>
        <v>1077</v>
      </c>
      <c r="D225" t="str">
        <f>"17"</f>
        <v>17</v>
      </c>
      <c r="E225" t="str">
        <f>"C:\TOC3201\Methods\Itamar\acid_sample.met"</f>
        <v>C:\TOC3201\Methods\Itamar\acid_sample.met</v>
      </c>
      <c r="F225" t="str">
        <f>"C:\TOC3201\CalCurves\Itamar\C_cal_100ppm_acid_laurel.2019_08_15_10_24_40.cal"</f>
        <v>C:\TOC3201\CalCurves\Itamar\C_cal_100ppm_acid_laurel.2019_08_15_10_24_40.cal</v>
      </c>
      <c r="G225">
        <v>1</v>
      </c>
      <c r="H225" t="str">
        <f>""</f>
        <v/>
      </c>
      <c r="I225" t="str">
        <f>"8/15/2019 10:08:28 PM"</f>
        <v>8/15/2019 10:08:28 PM</v>
      </c>
      <c r="J225" t="str">
        <f>"1"</f>
        <v>1</v>
      </c>
      <c r="K225" t="str">
        <f>"2"</f>
        <v>2</v>
      </c>
      <c r="L225" t="str">
        <f>"NPOC"</f>
        <v>NPOC</v>
      </c>
      <c r="M225" t="str">
        <f>"48.09"</f>
        <v>48.09</v>
      </c>
      <c r="N225" t="str">
        <f>"9.935"</f>
        <v>9.935</v>
      </c>
      <c r="O225" t="str">
        <f>"NPOC:9.931mg/L TN:0.7758mg/L"</f>
        <v>NPOC:9.931mg/L TN:0.7758mg/L</v>
      </c>
      <c r="P225">
        <v>0</v>
      </c>
      <c r="Q225" t="str">
        <f>"80"</f>
        <v>80</v>
      </c>
    </row>
    <row r="226" spans="1:17" x14ac:dyDescent="0.2">
      <c r="A226" t="str">
        <f>"Unknown"</f>
        <v>Unknown</v>
      </c>
      <c r="B226" t="str">
        <f>"NPOC/TN"</f>
        <v>NPOC/TN</v>
      </c>
      <c r="C226" t="str">
        <f>"1077"</f>
        <v>1077</v>
      </c>
      <c r="D226" t="str">
        <f>"17"</f>
        <v>17</v>
      </c>
      <c r="E226" t="str">
        <f>"C:\TOC3201\Methods\Itamar\acid_sample.met"</f>
        <v>C:\TOC3201\Methods\Itamar\acid_sample.met</v>
      </c>
      <c r="F226" t="str">
        <f>"C:\TOC3201\CalCurves\Itamar\C_cal_100ppm_acid_laurel.2019_08_15_10_24_40.cal"</f>
        <v>C:\TOC3201\CalCurves\Itamar\C_cal_100ppm_acid_laurel.2019_08_15_10_24_40.cal</v>
      </c>
      <c r="G226">
        <v>1</v>
      </c>
      <c r="H226" t="str">
        <f>""</f>
        <v/>
      </c>
      <c r="I226" t="str">
        <f>"8/15/2019 10:11:55 PM"</f>
        <v>8/15/2019 10:11:55 PM</v>
      </c>
      <c r="J226" t="str">
        <f>"1"</f>
        <v>1</v>
      </c>
      <c r="K226" t="str">
        <f>"3"</f>
        <v>3</v>
      </c>
      <c r="L226" t="str">
        <f>"NPOC"</f>
        <v>NPOC</v>
      </c>
      <c r="M226" t="str">
        <f>"51.23"</f>
        <v>51.23</v>
      </c>
      <c r="N226" t="str">
        <f>"10.58"</f>
        <v>10.58</v>
      </c>
      <c r="O226" t="str">
        <f>"NPOC:9.931mg/L TN:0.7758mg/L"</f>
        <v>NPOC:9.931mg/L TN:0.7758mg/L</v>
      </c>
      <c r="P226">
        <v>1</v>
      </c>
      <c r="Q226" t="str">
        <f>"80"</f>
        <v>80</v>
      </c>
    </row>
    <row r="227" spans="1:17" x14ac:dyDescent="0.2">
      <c r="A227" t="str">
        <f>"Unknown"</f>
        <v>Unknown</v>
      </c>
      <c r="B227" t="str">
        <f>"NPOC/TN"</f>
        <v>NPOC/TN</v>
      </c>
      <c r="C227" t="str">
        <f>"1077"</f>
        <v>1077</v>
      </c>
      <c r="D227" t="str">
        <f>"17"</f>
        <v>17</v>
      </c>
      <c r="E227" t="str">
        <f>"C:\TOC3201\Methods\Itamar\acid_sample.met"</f>
        <v>C:\TOC3201\Methods\Itamar\acid_sample.met</v>
      </c>
      <c r="F227" t="str">
        <f>"C:\TOC3201\CalCurves\Itamar\C_cal_100ppm_acid_laurel.2019_08_15_10_24_40.cal"</f>
        <v>C:\TOC3201\CalCurves\Itamar\C_cal_100ppm_acid_laurel.2019_08_15_10_24_40.cal</v>
      </c>
      <c r="G227">
        <v>1</v>
      </c>
      <c r="H227" t="str">
        <f>""</f>
        <v/>
      </c>
      <c r="I227" t="str">
        <f>"8/15/2019 10:15:13 PM"</f>
        <v>8/15/2019 10:15:13 PM</v>
      </c>
      <c r="J227" t="str">
        <f>"1"</f>
        <v>1</v>
      </c>
      <c r="K227" t="str">
        <f>"4"</f>
        <v>4</v>
      </c>
      <c r="L227" t="str">
        <f>"NPOC"</f>
        <v>NPOC</v>
      </c>
      <c r="M227" t="str">
        <f>"49.99"</f>
        <v>49.99</v>
      </c>
      <c r="N227" t="str">
        <f>"10.33"</f>
        <v>10.33</v>
      </c>
      <c r="O227" t="str">
        <f>"NPOC:9.931mg/L TN:0.7758mg/L"</f>
        <v>NPOC:9.931mg/L TN:0.7758mg/L</v>
      </c>
      <c r="P227">
        <v>1</v>
      </c>
      <c r="Q227" t="str">
        <f>"80"</f>
        <v>80</v>
      </c>
    </row>
    <row r="228" spans="1:17" x14ac:dyDescent="0.2">
      <c r="A228" t="str">
        <f>"Unknown"</f>
        <v>Unknown</v>
      </c>
      <c r="B228" t="str">
        <f>"NPOC/TN"</f>
        <v>NPOC/TN</v>
      </c>
      <c r="C228" t="str">
        <f>"1077"</f>
        <v>1077</v>
      </c>
      <c r="D228" t="str">
        <f>"17"</f>
        <v>17</v>
      </c>
      <c r="E228" t="str">
        <f>"C:\TOC3201\Methods\Itamar\acid_sample.met"</f>
        <v>C:\TOC3201\Methods\Itamar\acid_sample.met</v>
      </c>
      <c r="F228" t="str">
        <f>"C:\TOC3201\CalCurves\Itamar\C_cal_100ppm_acid_laurel.2019_08_15_10_24_40.cal"</f>
        <v>C:\TOC3201\CalCurves\Itamar\C_cal_100ppm_acid_laurel.2019_08_15_10_24_40.cal</v>
      </c>
      <c r="G228">
        <v>1</v>
      </c>
      <c r="H228" t="str">
        <f>""</f>
        <v/>
      </c>
      <c r="I228" t="str">
        <f>"8/15/2019 10:18:38 PM"</f>
        <v>8/15/2019 10:18:38 PM</v>
      </c>
      <c r="J228" t="str">
        <f>"1"</f>
        <v>1</v>
      </c>
      <c r="K228" t="str">
        <f>"5"</f>
        <v>5</v>
      </c>
      <c r="L228" t="str">
        <f>"NPOC"</f>
        <v>NPOC</v>
      </c>
      <c r="M228" t="str">
        <f>"47.52"</f>
        <v>47.52</v>
      </c>
      <c r="N228" t="str">
        <f>"9.818"</f>
        <v>9.818</v>
      </c>
      <c r="O228" t="str">
        <f>"NPOC:9.931mg/L TN:0.7758mg/L"</f>
        <v>NPOC:9.931mg/L TN:0.7758mg/L</v>
      </c>
      <c r="P228">
        <v>0</v>
      </c>
      <c r="Q228" t="str">
        <f>"80"</f>
        <v>80</v>
      </c>
    </row>
    <row r="229" spans="1:17" x14ac:dyDescent="0.2">
      <c r="A229" t="str">
        <f>"Unknown"</f>
        <v>Unknown</v>
      </c>
      <c r="B229" t="str">
        <f>"NPOC/TN"</f>
        <v>NPOC/TN</v>
      </c>
      <c r="C229" t="str">
        <f>"1077"</f>
        <v>1077</v>
      </c>
      <c r="D229" t="str">
        <f>"17"</f>
        <v>17</v>
      </c>
      <c r="E229" t="str">
        <f>"C:\TOC3201\Methods\Itamar\acid_sample.met"</f>
        <v>C:\TOC3201\Methods\Itamar\acid_sample.met</v>
      </c>
      <c r="F229" t="str">
        <f>"C:\TOC3201\CalCurves\Itamar\N_cal_25ppm_acid_laurel.2019_08_15_12_20_41.cal"</f>
        <v>C:\TOC3201\CalCurves\Itamar\N_cal_25ppm_acid_laurel.2019_08_15_12_20_41.cal</v>
      </c>
      <c r="G229">
        <v>1</v>
      </c>
      <c r="H229" t="str">
        <f>""</f>
        <v/>
      </c>
      <c r="I229" t="str">
        <f>"8/15/2019 10:05:03 PM"</f>
        <v>8/15/2019 10:05:03 PM</v>
      </c>
      <c r="J229" t="str">
        <f>"1"</f>
        <v>1</v>
      </c>
      <c r="K229" t="str">
        <f>"1"</f>
        <v>1</v>
      </c>
      <c r="L229" t="str">
        <f>"TN"</f>
        <v>TN</v>
      </c>
      <c r="M229" t="str">
        <f>"2.450"</f>
        <v>2.450</v>
      </c>
      <c r="N229" t="str">
        <f>"0.7852"</f>
        <v>0.7852</v>
      </c>
      <c r="O229" t="str">
        <f>"NPOC:9.931mg/L TN:0.7758mg/L"</f>
        <v>NPOC:9.931mg/L TN:0.7758mg/L</v>
      </c>
      <c r="P229">
        <v>0</v>
      </c>
      <c r="Q229" t="str">
        <f>"80"</f>
        <v>80</v>
      </c>
    </row>
    <row r="230" spans="1:17" x14ac:dyDescent="0.2">
      <c r="A230" t="str">
        <f>"Unknown"</f>
        <v>Unknown</v>
      </c>
      <c r="B230" t="str">
        <f>"NPOC/TN"</f>
        <v>NPOC/TN</v>
      </c>
      <c r="C230" t="str">
        <f>"1077"</f>
        <v>1077</v>
      </c>
      <c r="D230" t="str">
        <f>"17"</f>
        <v>17</v>
      </c>
      <c r="E230" t="str">
        <f>"C:\TOC3201\Methods\Itamar\acid_sample.met"</f>
        <v>C:\TOC3201\Methods\Itamar\acid_sample.met</v>
      </c>
      <c r="F230" t="str">
        <f>"C:\TOC3201\CalCurves\Itamar\N_cal_25ppm_acid_laurel.2019_08_15_12_20_41.cal"</f>
        <v>C:\TOC3201\CalCurves\Itamar\N_cal_25ppm_acid_laurel.2019_08_15_12_20_41.cal</v>
      </c>
      <c r="G230">
        <v>1</v>
      </c>
      <c r="H230" t="str">
        <f>""</f>
        <v/>
      </c>
      <c r="I230" t="str">
        <f>"8/15/2019 10:08:28 PM"</f>
        <v>8/15/2019 10:08:28 PM</v>
      </c>
      <c r="J230" t="str">
        <f>"1"</f>
        <v>1</v>
      </c>
      <c r="K230" t="str">
        <f>"2"</f>
        <v>2</v>
      </c>
      <c r="L230" t="str">
        <f>"TN"</f>
        <v>TN</v>
      </c>
      <c r="M230" t="str">
        <f>"3.091"</f>
        <v>3.091</v>
      </c>
      <c r="N230" t="str">
        <f>"0.9485"</f>
        <v>0.9485</v>
      </c>
      <c r="O230" t="str">
        <f>"NPOC:9.931mg/L TN:0.7758mg/L"</f>
        <v>NPOC:9.931mg/L TN:0.7758mg/L</v>
      </c>
      <c r="P230">
        <v>1</v>
      </c>
      <c r="Q230" t="str">
        <f>"80"</f>
        <v>80</v>
      </c>
    </row>
    <row r="231" spans="1:17" x14ac:dyDescent="0.2">
      <c r="A231" t="str">
        <f>"Unknown"</f>
        <v>Unknown</v>
      </c>
      <c r="B231" t="str">
        <f>"NPOC/TN"</f>
        <v>NPOC/TN</v>
      </c>
      <c r="C231" t="str">
        <f>"1077"</f>
        <v>1077</v>
      </c>
      <c r="D231" t="str">
        <f>"17"</f>
        <v>17</v>
      </c>
      <c r="E231" t="str">
        <f>"C:\TOC3201\Methods\Itamar\acid_sample.met"</f>
        <v>C:\TOC3201\Methods\Itamar\acid_sample.met</v>
      </c>
      <c r="F231" t="str">
        <f>"C:\TOC3201\CalCurves\Itamar\N_cal_25ppm_acid_laurel.2019_08_15_12_20_41.cal"</f>
        <v>C:\TOC3201\CalCurves\Itamar\N_cal_25ppm_acid_laurel.2019_08_15_12_20_41.cal</v>
      </c>
      <c r="G231">
        <v>1</v>
      </c>
      <c r="H231" t="str">
        <f>""</f>
        <v/>
      </c>
      <c r="I231" t="str">
        <f>"8/15/2019 10:11:55 PM"</f>
        <v>8/15/2019 10:11:55 PM</v>
      </c>
      <c r="J231" t="str">
        <f>"1"</f>
        <v>1</v>
      </c>
      <c r="K231" t="str">
        <f>"3"</f>
        <v>3</v>
      </c>
      <c r="L231" t="str">
        <f>"TN"</f>
        <v>TN</v>
      </c>
      <c r="M231" t="str">
        <f>"2.689"</f>
        <v>2.689</v>
      </c>
      <c r="N231" t="str">
        <f>"0.8460"</f>
        <v>0.8460</v>
      </c>
      <c r="O231" t="str">
        <f>"NPOC:9.931mg/L TN:0.7758mg/L"</f>
        <v>NPOC:9.931mg/L TN:0.7758mg/L</v>
      </c>
      <c r="P231">
        <v>1</v>
      </c>
      <c r="Q231" t="str">
        <f>"80"</f>
        <v>80</v>
      </c>
    </row>
    <row r="232" spans="1:17" x14ac:dyDescent="0.2">
      <c r="A232" t="str">
        <f>"Unknown"</f>
        <v>Unknown</v>
      </c>
      <c r="B232" t="str">
        <f>"NPOC/TN"</f>
        <v>NPOC/TN</v>
      </c>
      <c r="C232" t="str">
        <f>"1077"</f>
        <v>1077</v>
      </c>
      <c r="D232" t="str">
        <f>"17"</f>
        <v>17</v>
      </c>
      <c r="E232" t="str">
        <f>"C:\TOC3201\Methods\Itamar\acid_sample.met"</f>
        <v>C:\TOC3201\Methods\Itamar\acid_sample.met</v>
      </c>
      <c r="F232" t="str">
        <f>"C:\TOC3201\CalCurves\Itamar\N_cal_25ppm_acid_laurel.2019_08_15_12_20_41.cal"</f>
        <v>C:\TOC3201\CalCurves\Itamar\N_cal_25ppm_acid_laurel.2019_08_15_12_20_41.cal</v>
      </c>
      <c r="G232">
        <v>1</v>
      </c>
      <c r="H232" t="str">
        <f>""</f>
        <v/>
      </c>
      <c r="I232" t="str">
        <f>"8/15/2019 10:15:13 PM"</f>
        <v>8/15/2019 10:15:13 PM</v>
      </c>
      <c r="J232" t="str">
        <f>"1"</f>
        <v>1</v>
      </c>
      <c r="K232" t="str">
        <f>"4"</f>
        <v>4</v>
      </c>
      <c r="L232" t="str">
        <f>"TN"</f>
        <v>TN</v>
      </c>
      <c r="M232" t="str">
        <f>"2.473"</f>
        <v>2.473</v>
      </c>
      <c r="N232" t="str">
        <f>"0.7910"</f>
        <v>0.7910</v>
      </c>
      <c r="O232" t="str">
        <f>"NPOC:9.931mg/L TN:0.7758mg/L"</f>
        <v>NPOC:9.931mg/L TN:0.7758mg/L</v>
      </c>
      <c r="P232">
        <v>0</v>
      </c>
      <c r="Q232" t="str">
        <f>"80"</f>
        <v>80</v>
      </c>
    </row>
    <row r="233" spans="1:17" x14ac:dyDescent="0.2">
      <c r="A233" t="str">
        <f>"Unknown"</f>
        <v>Unknown</v>
      </c>
      <c r="B233" t="str">
        <f>"NPOC/TN"</f>
        <v>NPOC/TN</v>
      </c>
      <c r="C233" t="str">
        <f>"1077"</f>
        <v>1077</v>
      </c>
      <c r="D233" t="str">
        <f>"17"</f>
        <v>17</v>
      </c>
      <c r="E233" t="str">
        <f>"C:\TOC3201\Methods\Itamar\acid_sample.met"</f>
        <v>C:\TOC3201\Methods\Itamar\acid_sample.met</v>
      </c>
      <c r="F233" t="str">
        <f>"C:\TOC3201\CalCurves\Itamar\N_cal_25ppm_acid_laurel.2019_08_15_12_20_41.cal"</f>
        <v>C:\TOC3201\CalCurves\Itamar\N_cal_25ppm_acid_laurel.2019_08_15_12_20_41.cal</v>
      </c>
      <c r="G233">
        <v>1</v>
      </c>
      <c r="H233" t="str">
        <f>""</f>
        <v/>
      </c>
      <c r="I233" t="str">
        <f>"8/15/2019 10:18:38 PM"</f>
        <v>8/15/2019 10:18:38 PM</v>
      </c>
      <c r="J233" t="str">
        <f>"1"</f>
        <v>1</v>
      </c>
      <c r="K233" t="str">
        <f>"5"</f>
        <v>5</v>
      </c>
      <c r="L233" t="str">
        <f>"TN"</f>
        <v>TN</v>
      </c>
      <c r="M233" t="str">
        <f>"2.317"</f>
        <v>2.317</v>
      </c>
      <c r="N233" t="str">
        <f>"0.7513"</f>
        <v>0.7513</v>
      </c>
      <c r="O233" t="str">
        <f>"NPOC:9.931mg/L TN:0.7758mg/L"</f>
        <v>NPOC:9.931mg/L TN:0.7758mg/L</v>
      </c>
      <c r="P233">
        <v>0</v>
      </c>
      <c r="Q233" t="str">
        <f>"80"</f>
        <v>80</v>
      </c>
    </row>
    <row r="234" spans="1:17" x14ac:dyDescent="0.2">
      <c r="A234" t="str">
        <f>"Unknown"</f>
        <v>Unknown</v>
      </c>
      <c r="B234" t="str">
        <f>"NPOC/TN"</f>
        <v>NPOC/TN</v>
      </c>
      <c r="C234" t="str">
        <f>"1079"</f>
        <v>1079</v>
      </c>
      <c r="D234" t="str">
        <f>"18"</f>
        <v>18</v>
      </c>
      <c r="E234" t="str">
        <f>"C:\TOC3201\Methods\Itamar\acid_sample.met"</f>
        <v>C:\TOC3201\Methods\Itamar\acid_sample.met</v>
      </c>
      <c r="F234" t="str">
        <f>"C:\TOC3201\CalCurves\Itamar\C_cal_100ppm_acid_laurel.2019_08_15_10_24_40.cal"</f>
        <v>C:\TOC3201\CalCurves\Itamar\C_cal_100ppm_acid_laurel.2019_08_15_10_24_40.cal</v>
      </c>
      <c r="G234">
        <v>1</v>
      </c>
      <c r="H234" t="str">
        <f>""</f>
        <v/>
      </c>
      <c r="I234" t="str">
        <f>"8/15/2019 10:28:32 PM"</f>
        <v>8/15/2019 10:28:32 PM</v>
      </c>
      <c r="J234" t="str">
        <f>"1"</f>
        <v>1</v>
      </c>
      <c r="K234" t="str">
        <f>"1"</f>
        <v>1</v>
      </c>
      <c r="L234" t="str">
        <f>"NPOC"</f>
        <v>NPOC</v>
      </c>
      <c r="M234" t="str">
        <f>"47.86"</f>
        <v>47.86</v>
      </c>
      <c r="N234" t="str">
        <f>"9.888"</f>
        <v>9.888</v>
      </c>
      <c r="O234" t="str">
        <f>"NPOC:9.713mg/L TN:0.8286mg/L"</f>
        <v>NPOC:9.713mg/L TN:0.8286mg/L</v>
      </c>
      <c r="P234">
        <v>0</v>
      </c>
      <c r="Q234" t="str">
        <f>"80"</f>
        <v>80</v>
      </c>
    </row>
    <row r="235" spans="1:17" x14ac:dyDescent="0.2">
      <c r="A235" t="str">
        <f>"Unknown"</f>
        <v>Unknown</v>
      </c>
      <c r="B235" t="str">
        <f>"NPOC/TN"</f>
        <v>NPOC/TN</v>
      </c>
      <c r="C235" t="str">
        <f>"1079"</f>
        <v>1079</v>
      </c>
      <c r="D235" t="str">
        <f>"18"</f>
        <v>18</v>
      </c>
      <c r="E235" t="str">
        <f>"C:\TOC3201\Methods\Itamar\acid_sample.met"</f>
        <v>C:\TOC3201\Methods\Itamar\acid_sample.met</v>
      </c>
      <c r="F235" t="str">
        <f>"C:\TOC3201\CalCurves\Itamar\C_cal_100ppm_acid_laurel.2019_08_15_10_24_40.cal"</f>
        <v>C:\TOC3201\CalCurves\Itamar\C_cal_100ppm_acid_laurel.2019_08_15_10_24_40.cal</v>
      </c>
      <c r="G235">
        <v>1</v>
      </c>
      <c r="H235" t="str">
        <f>""</f>
        <v/>
      </c>
      <c r="I235" t="str">
        <f>"8/15/2019 10:31:54 PM"</f>
        <v>8/15/2019 10:31:54 PM</v>
      </c>
      <c r="J235" t="str">
        <f>"1"</f>
        <v>1</v>
      </c>
      <c r="K235" t="str">
        <f>"2"</f>
        <v>2</v>
      </c>
      <c r="L235" t="str">
        <f>"NPOC"</f>
        <v>NPOC</v>
      </c>
      <c r="M235" t="str">
        <f>"46.63"</f>
        <v>46.63</v>
      </c>
      <c r="N235" t="str">
        <f>"9.636"</f>
        <v>9.636</v>
      </c>
      <c r="O235" t="str">
        <f>"NPOC:9.713mg/L TN:0.8286mg/L"</f>
        <v>NPOC:9.713mg/L TN:0.8286mg/L</v>
      </c>
      <c r="P235">
        <v>0</v>
      </c>
      <c r="Q235" t="str">
        <f>"80"</f>
        <v>80</v>
      </c>
    </row>
    <row r="236" spans="1:17" x14ac:dyDescent="0.2">
      <c r="A236" t="str">
        <f>"Unknown"</f>
        <v>Unknown</v>
      </c>
      <c r="B236" t="str">
        <f>"NPOC/TN"</f>
        <v>NPOC/TN</v>
      </c>
      <c r="C236" t="str">
        <f>"1079"</f>
        <v>1079</v>
      </c>
      <c r="D236" t="str">
        <f>"18"</f>
        <v>18</v>
      </c>
      <c r="E236" t="str">
        <f>"C:\TOC3201\Methods\Itamar\acid_sample.met"</f>
        <v>C:\TOC3201\Methods\Itamar\acid_sample.met</v>
      </c>
      <c r="F236" t="str">
        <f>"C:\TOC3201\CalCurves\Itamar\C_cal_100ppm_acid_laurel.2019_08_15_10_24_40.cal"</f>
        <v>C:\TOC3201\CalCurves\Itamar\C_cal_100ppm_acid_laurel.2019_08_15_10_24_40.cal</v>
      </c>
      <c r="G236">
        <v>1</v>
      </c>
      <c r="H236" t="str">
        <f>""</f>
        <v/>
      </c>
      <c r="I236" t="str">
        <f>"8/15/2019 10:35:20 PM"</f>
        <v>8/15/2019 10:35:20 PM</v>
      </c>
      <c r="J236" t="str">
        <f>"1"</f>
        <v>1</v>
      </c>
      <c r="K236" t="str">
        <f>"3"</f>
        <v>3</v>
      </c>
      <c r="L236" t="str">
        <f>"NPOC"</f>
        <v>NPOC</v>
      </c>
      <c r="M236" t="str">
        <f>"49.71"</f>
        <v>49.71</v>
      </c>
      <c r="N236" t="str">
        <f>"10.27"</f>
        <v>10.27</v>
      </c>
      <c r="O236" t="str">
        <f>"NPOC:9.713mg/L TN:0.8286mg/L"</f>
        <v>NPOC:9.713mg/L TN:0.8286mg/L</v>
      </c>
      <c r="P236">
        <v>1</v>
      </c>
      <c r="Q236" t="str">
        <f>"80"</f>
        <v>80</v>
      </c>
    </row>
    <row r="237" spans="1:17" x14ac:dyDescent="0.2">
      <c r="A237" t="str">
        <f>"Unknown"</f>
        <v>Unknown</v>
      </c>
      <c r="B237" t="str">
        <f>"NPOC/TN"</f>
        <v>NPOC/TN</v>
      </c>
      <c r="C237" t="str">
        <f>"1079"</f>
        <v>1079</v>
      </c>
      <c r="D237" t="str">
        <f>"18"</f>
        <v>18</v>
      </c>
      <c r="E237" t="str">
        <f>"C:\TOC3201\Methods\Itamar\acid_sample.met"</f>
        <v>C:\TOC3201\Methods\Itamar\acid_sample.met</v>
      </c>
      <c r="F237" t="str">
        <f>"C:\TOC3201\CalCurves\Itamar\C_cal_100ppm_acid_laurel.2019_08_15_10_24_40.cal"</f>
        <v>C:\TOC3201\CalCurves\Itamar\C_cal_100ppm_acid_laurel.2019_08_15_10_24_40.cal</v>
      </c>
      <c r="G237">
        <v>1</v>
      </c>
      <c r="H237" t="str">
        <f>""</f>
        <v/>
      </c>
      <c r="I237" t="str">
        <f>"8/15/2019 10:38:51 PM"</f>
        <v>8/15/2019 10:38:51 PM</v>
      </c>
      <c r="J237" t="str">
        <f>"1"</f>
        <v>1</v>
      </c>
      <c r="K237" t="str">
        <f>"4"</f>
        <v>4</v>
      </c>
      <c r="L237" t="str">
        <f>"NPOC"</f>
        <v>NPOC</v>
      </c>
      <c r="M237" t="str">
        <f>"49.63"</f>
        <v>49.63</v>
      </c>
      <c r="N237" t="str">
        <f>"10.25"</f>
        <v>10.25</v>
      </c>
      <c r="O237" t="str">
        <f>"NPOC:9.713mg/L TN:0.8286mg/L"</f>
        <v>NPOC:9.713mg/L TN:0.8286mg/L</v>
      </c>
      <c r="P237">
        <v>1</v>
      </c>
      <c r="Q237" t="str">
        <f>"80"</f>
        <v>80</v>
      </c>
    </row>
    <row r="238" spans="1:17" x14ac:dyDescent="0.2">
      <c r="A238" t="str">
        <f>"Unknown"</f>
        <v>Unknown</v>
      </c>
      <c r="B238" t="str">
        <f>"NPOC/TN"</f>
        <v>NPOC/TN</v>
      </c>
      <c r="C238" t="str">
        <f>"1079"</f>
        <v>1079</v>
      </c>
      <c r="D238" t="str">
        <f>"18"</f>
        <v>18</v>
      </c>
      <c r="E238" t="str">
        <f>"C:\TOC3201\Methods\Itamar\acid_sample.met"</f>
        <v>C:\TOC3201\Methods\Itamar\acid_sample.met</v>
      </c>
      <c r="F238" t="str">
        <f>"C:\TOC3201\CalCurves\Itamar\C_cal_100ppm_acid_laurel.2019_08_15_10_24_40.cal"</f>
        <v>C:\TOC3201\CalCurves\Itamar\C_cal_100ppm_acid_laurel.2019_08_15_10_24_40.cal</v>
      </c>
      <c r="G238">
        <v>1</v>
      </c>
      <c r="H238" t="str">
        <f>""</f>
        <v/>
      </c>
      <c r="I238" t="str">
        <f>"8/15/2019 10:42:12 PM"</f>
        <v>8/15/2019 10:42:12 PM</v>
      </c>
      <c r="J238" t="str">
        <f>"1"</f>
        <v>1</v>
      </c>
      <c r="K238" t="str">
        <f>"5"</f>
        <v>5</v>
      </c>
      <c r="L238" t="str">
        <f>"NPOC"</f>
        <v>NPOC</v>
      </c>
      <c r="M238" t="str">
        <f>"46.53"</f>
        <v>46.53</v>
      </c>
      <c r="N238" t="str">
        <f>"9.615"</f>
        <v>9.615</v>
      </c>
      <c r="O238" t="str">
        <f>"NPOC:9.713mg/L TN:0.8286mg/L"</f>
        <v>NPOC:9.713mg/L TN:0.8286mg/L</v>
      </c>
      <c r="P238">
        <v>0</v>
      </c>
      <c r="Q238" t="str">
        <f>"80"</f>
        <v>80</v>
      </c>
    </row>
    <row r="239" spans="1:17" x14ac:dyDescent="0.2">
      <c r="A239" t="str">
        <f>"Unknown"</f>
        <v>Unknown</v>
      </c>
      <c r="B239" t="str">
        <f>"NPOC/TN"</f>
        <v>NPOC/TN</v>
      </c>
      <c r="C239" t="str">
        <f>"1079"</f>
        <v>1079</v>
      </c>
      <c r="D239" t="str">
        <f>"18"</f>
        <v>18</v>
      </c>
      <c r="E239" t="str">
        <f>"C:\TOC3201\Methods\Itamar\acid_sample.met"</f>
        <v>C:\TOC3201\Methods\Itamar\acid_sample.met</v>
      </c>
      <c r="F239" t="str">
        <f>"C:\TOC3201\CalCurves\Itamar\N_cal_25ppm_acid_laurel.2019_08_15_12_20_41.cal"</f>
        <v>C:\TOC3201\CalCurves\Itamar\N_cal_25ppm_acid_laurel.2019_08_15_12_20_41.cal</v>
      </c>
      <c r="G239">
        <v>1</v>
      </c>
      <c r="H239" t="str">
        <f>""</f>
        <v/>
      </c>
      <c r="I239" t="str">
        <f>"8/15/2019 10:28:32 PM"</f>
        <v>8/15/2019 10:28:32 PM</v>
      </c>
      <c r="J239" t="str">
        <f>"1"</f>
        <v>1</v>
      </c>
      <c r="K239" t="str">
        <f>"1"</f>
        <v>1</v>
      </c>
      <c r="L239" t="str">
        <f>"TN"</f>
        <v>TN</v>
      </c>
      <c r="M239" t="str">
        <f>"2.062"</f>
        <v>2.062</v>
      </c>
      <c r="N239" t="str">
        <f>"0.6863"</f>
        <v>0.6863</v>
      </c>
      <c r="O239" t="str">
        <f>"NPOC:9.713mg/L TN:0.8286mg/L"</f>
        <v>NPOC:9.713mg/L TN:0.8286mg/L</v>
      </c>
      <c r="P239">
        <v>1</v>
      </c>
      <c r="Q239" t="str">
        <f>"80"</f>
        <v>80</v>
      </c>
    </row>
    <row r="240" spans="1:17" x14ac:dyDescent="0.2">
      <c r="A240" t="str">
        <f>"Unknown"</f>
        <v>Unknown</v>
      </c>
      <c r="B240" t="str">
        <f>"NPOC/TN"</f>
        <v>NPOC/TN</v>
      </c>
      <c r="C240" t="str">
        <f>"1079"</f>
        <v>1079</v>
      </c>
      <c r="D240" t="str">
        <f>"18"</f>
        <v>18</v>
      </c>
      <c r="E240" t="str">
        <f>"C:\TOC3201\Methods\Itamar\acid_sample.met"</f>
        <v>C:\TOC3201\Methods\Itamar\acid_sample.met</v>
      </c>
      <c r="F240" t="str">
        <f>"C:\TOC3201\CalCurves\Itamar\N_cal_25ppm_acid_laurel.2019_08_15_12_20_41.cal"</f>
        <v>C:\TOC3201\CalCurves\Itamar\N_cal_25ppm_acid_laurel.2019_08_15_12_20_41.cal</v>
      </c>
      <c r="G240">
        <v>1</v>
      </c>
      <c r="H240" t="str">
        <f>""</f>
        <v/>
      </c>
      <c r="I240" t="str">
        <f>"8/15/2019 10:31:54 PM"</f>
        <v>8/15/2019 10:31:54 PM</v>
      </c>
      <c r="J240" t="str">
        <f>"1"</f>
        <v>1</v>
      </c>
      <c r="K240" t="str">
        <f>"2"</f>
        <v>2</v>
      </c>
      <c r="L240" t="str">
        <f>"TN"</f>
        <v>TN</v>
      </c>
      <c r="M240" t="str">
        <f>"2.691"</f>
        <v>2.691</v>
      </c>
      <c r="N240" t="str">
        <f>"0.8466"</f>
        <v>0.8466</v>
      </c>
      <c r="O240" t="str">
        <f>"NPOC:9.713mg/L TN:0.8286mg/L"</f>
        <v>NPOC:9.713mg/L TN:0.8286mg/L</v>
      </c>
      <c r="P240">
        <v>0</v>
      </c>
      <c r="Q240" t="str">
        <f>"80"</f>
        <v>80</v>
      </c>
    </row>
    <row r="241" spans="1:17" x14ac:dyDescent="0.2">
      <c r="A241" t="str">
        <f>"Unknown"</f>
        <v>Unknown</v>
      </c>
      <c r="B241" t="str">
        <f>"NPOC/TN"</f>
        <v>NPOC/TN</v>
      </c>
      <c r="C241" t="str">
        <f>"1079"</f>
        <v>1079</v>
      </c>
      <c r="D241" t="str">
        <f>"18"</f>
        <v>18</v>
      </c>
      <c r="E241" t="str">
        <f>"C:\TOC3201\Methods\Itamar\acid_sample.met"</f>
        <v>C:\TOC3201\Methods\Itamar\acid_sample.met</v>
      </c>
      <c r="F241" t="str">
        <f>"C:\TOC3201\CalCurves\Itamar\N_cal_25ppm_acid_laurel.2019_08_15_12_20_41.cal"</f>
        <v>C:\TOC3201\CalCurves\Itamar\N_cal_25ppm_acid_laurel.2019_08_15_12_20_41.cal</v>
      </c>
      <c r="G241">
        <v>1</v>
      </c>
      <c r="H241" t="str">
        <f>""</f>
        <v/>
      </c>
      <c r="I241" t="str">
        <f>"8/15/2019 10:35:20 PM"</f>
        <v>8/15/2019 10:35:20 PM</v>
      </c>
      <c r="J241" t="str">
        <f>"1"</f>
        <v>1</v>
      </c>
      <c r="K241" t="str">
        <f>"3"</f>
        <v>3</v>
      </c>
      <c r="L241" t="str">
        <f>"TN"</f>
        <v>TN</v>
      </c>
      <c r="M241" t="str">
        <f>"2.713"</f>
        <v>2.713</v>
      </c>
      <c r="N241" t="str">
        <f>"0.8522"</f>
        <v>0.8522</v>
      </c>
      <c r="O241" t="str">
        <f>"NPOC:9.713mg/L TN:0.8286mg/L"</f>
        <v>NPOC:9.713mg/L TN:0.8286mg/L</v>
      </c>
      <c r="P241">
        <v>0</v>
      </c>
      <c r="Q241" t="str">
        <f>"80"</f>
        <v>80</v>
      </c>
    </row>
    <row r="242" spans="1:17" x14ac:dyDescent="0.2">
      <c r="A242" t="str">
        <f>"Unknown"</f>
        <v>Unknown</v>
      </c>
      <c r="B242" t="str">
        <f>"NPOC/TN"</f>
        <v>NPOC/TN</v>
      </c>
      <c r="C242" t="str">
        <f>"1079"</f>
        <v>1079</v>
      </c>
      <c r="D242" t="str">
        <f>"18"</f>
        <v>18</v>
      </c>
      <c r="E242" t="str">
        <f>"C:\TOC3201\Methods\Itamar\acid_sample.met"</f>
        <v>C:\TOC3201\Methods\Itamar\acid_sample.met</v>
      </c>
      <c r="F242" t="str">
        <f>"C:\TOC3201\CalCurves\Itamar\N_cal_25ppm_acid_laurel.2019_08_15_12_20_41.cal"</f>
        <v>C:\TOC3201\CalCurves\Itamar\N_cal_25ppm_acid_laurel.2019_08_15_12_20_41.cal</v>
      </c>
      <c r="G242">
        <v>1</v>
      </c>
      <c r="H242" t="str">
        <f>""</f>
        <v/>
      </c>
      <c r="I242" t="str">
        <f>"8/15/2019 10:38:51 PM"</f>
        <v>8/15/2019 10:38:51 PM</v>
      </c>
      <c r="J242" t="str">
        <f>"1"</f>
        <v>1</v>
      </c>
      <c r="K242" t="str">
        <f>"4"</f>
        <v>4</v>
      </c>
      <c r="L242" t="str">
        <f>"TN"</f>
        <v>TN</v>
      </c>
      <c r="M242" t="str">
        <f>"2.087"</f>
        <v>2.087</v>
      </c>
      <c r="N242" t="str">
        <f>"0.6927"</f>
        <v>0.6927</v>
      </c>
      <c r="O242" t="str">
        <f>"NPOC:9.713mg/L TN:0.8286mg/L"</f>
        <v>NPOC:9.713mg/L TN:0.8286mg/L</v>
      </c>
      <c r="P242">
        <v>1</v>
      </c>
      <c r="Q242" t="str">
        <f>"80"</f>
        <v>80</v>
      </c>
    </row>
    <row r="243" spans="1:17" x14ac:dyDescent="0.2">
      <c r="A243" t="str">
        <f>"Unknown"</f>
        <v>Unknown</v>
      </c>
      <c r="B243" t="str">
        <f>"NPOC/TN"</f>
        <v>NPOC/TN</v>
      </c>
      <c r="C243" t="str">
        <f>"1079"</f>
        <v>1079</v>
      </c>
      <c r="D243" t="str">
        <f>"18"</f>
        <v>18</v>
      </c>
      <c r="E243" t="str">
        <f>"C:\TOC3201\Methods\Itamar\acid_sample.met"</f>
        <v>C:\TOC3201\Methods\Itamar\acid_sample.met</v>
      </c>
      <c r="F243" t="str">
        <f>"C:\TOC3201\CalCurves\Itamar\N_cal_25ppm_acid_laurel.2019_08_15_12_20_41.cal"</f>
        <v>C:\TOC3201\CalCurves\Itamar\N_cal_25ppm_acid_laurel.2019_08_15_12_20_41.cal</v>
      </c>
      <c r="G243">
        <v>1</v>
      </c>
      <c r="H243" t="str">
        <f>""</f>
        <v/>
      </c>
      <c r="I243" t="str">
        <f>"8/15/2019 10:42:12 PM"</f>
        <v>8/15/2019 10:42:12 PM</v>
      </c>
      <c r="J243" t="str">
        <f>"1"</f>
        <v>1</v>
      </c>
      <c r="K243" t="str">
        <f>"5"</f>
        <v>5</v>
      </c>
      <c r="L243" t="str">
        <f>"TN"</f>
        <v>TN</v>
      </c>
      <c r="M243" t="str">
        <f>"2.457"</f>
        <v>2.457</v>
      </c>
      <c r="N243" t="str">
        <f>"0.7869"</f>
        <v>0.7869</v>
      </c>
      <c r="O243" t="str">
        <f>"NPOC:9.713mg/L TN:0.8286mg/L"</f>
        <v>NPOC:9.713mg/L TN:0.8286mg/L</v>
      </c>
      <c r="P243">
        <v>0</v>
      </c>
      <c r="Q243" t="str">
        <f>"80"</f>
        <v>80</v>
      </c>
    </row>
    <row r="244" spans="1:17" x14ac:dyDescent="0.2">
      <c r="A244" t="str">
        <f>"Unknown"</f>
        <v>Unknown</v>
      </c>
      <c r="B244" t="str">
        <f>"NPOC/TN"</f>
        <v>NPOC/TN</v>
      </c>
      <c r="C244" t="str">
        <f>"1081"</f>
        <v>1081</v>
      </c>
      <c r="D244" t="str">
        <f>"19"</f>
        <v>19</v>
      </c>
      <c r="E244" t="str">
        <f>"C:\TOC3201\Methods\Itamar\acid_sample.met"</f>
        <v>C:\TOC3201\Methods\Itamar\acid_sample.met</v>
      </c>
      <c r="F244" t="str">
        <f>"C:\TOC3201\CalCurves\Itamar\C_cal_100ppm_acid_laurel.2019_08_15_10_24_40.cal"</f>
        <v>C:\TOC3201\CalCurves\Itamar\C_cal_100ppm_acid_laurel.2019_08_15_10_24_40.cal</v>
      </c>
      <c r="G244">
        <v>1</v>
      </c>
      <c r="H244" t="str">
        <f>""</f>
        <v/>
      </c>
      <c r="I244" t="str">
        <f>"8/15/2019 10:51:40 PM"</f>
        <v>8/15/2019 10:51:40 PM</v>
      </c>
      <c r="J244" t="str">
        <f>"1"</f>
        <v>1</v>
      </c>
      <c r="K244" t="str">
        <f>"1"</f>
        <v>1</v>
      </c>
      <c r="L244" t="str">
        <f>"NPOC"</f>
        <v>NPOC</v>
      </c>
      <c r="M244" t="str">
        <f>"16.65"</f>
        <v>16.65</v>
      </c>
      <c r="N244" t="str">
        <f>"3.479"</f>
        <v>3.479</v>
      </c>
      <c r="O244" t="str">
        <f>"NPOC:3.431mg/L TN:0.7267mg/L"</f>
        <v>NPOC:3.431mg/L TN:0.7267mg/L</v>
      </c>
      <c r="P244">
        <v>0</v>
      </c>
      <c r="Q244" t="str">
        <f>"80"</f>
        <v>80</v>
      </c>
    </row>
    <row r="245" spans="1:17" x14ac:dyDescent="0.2">
      <c r="A245" t="str">
        <f>"Unknown"</f>
        <v>Unknown</v>
      </c>
      <c r="B245" t="str">
        <f>"NPOC/TN"</f>
        <v>NPOC/TN</v>
      </c>
      <c r="C245" t="str">
        <f>"1081"</f>
        <v>1081</v>
      </c>
      <c r="D245" t="str">
        <f>"19"</f>
        <v>19</v>
      </c>
      <c r="E245" t="str">
        <f>"C:\TOC3201\Methods\Itamar\acid_sample.met"</f>
        <v>C:\TOC3201\Methods\Itamar\acid_sample.met</v>
      </c>
      <c r="F245" t="str">
        <f>"C:\TOC3201\CalCurves\Itamar\C_cal_100ppm_acid_laurel.2019_08_15_10_24_40.cal"</f>
        <v>C:\TOC3201\CalCurves\Itamar\C_cal_100ppm_acid_laurel.2019_08_15_10_24_40.cal</v>
      </c>
      <c r="G245">
        <v>1</v>
      </c>
      <c r="H245" t="str">
        <f>""</f>
        <v/>
      </c>
      <c r="I245" t="str">
        <f>"8/15/2019 10:54:41 PM"</f>
        <v>8/15/2019 10:54:41 PM</v>
      </c>
      <c r="J245" t="str">
        <f>"1"</f>
        <v>1</v>
      </c>
      <c r="K245" t="str">
        <f>"2"</f>
        <v>2</v>
      </c>
      <c r="L245" t="str">
        <f>"NPOC"</f>
        <v>NPOC</v>
      </c>
      <c r="M245" t="str">
        <f>"16.14"</f>
        <v>16.14</v>
      </c>
      <c r="N245" t="str">
        <f>"3.374"</f>
        <v>3.374</v>
      </c>
      <c r="O245" t="str">
        <f>"NPOC:3.431mg/L TN:0.7267mg/L"</f>
        <v>NPOC:3.431mg/L TN:0.7267mg/L</v>
      </c>
      <c r="P245">
        <v>0</v>
      </c>
      <c r="Q245" t="str">
        <f>"80"</f>
        <v>80</v>
      </c>
    </row>
    <row r="246" spans="1:17" x14ac:dyDescent="0.2">
      <c r="A246" t="str">
        <f>"Unknown"</f>
        <v>Unknown</v>
      </c>
      <c r="B246" t="str">
        <f>"NPOC/TN"</f>
        <v>NPOC/TN</v>
      </c>
      <c r="C246" t="str">
        <f>"1081"</f>
        <v>1081</v>
      </c>
      <c r="D246" t="str">
        <f>"19"</f>
        <v>19</v>
      </c>
      <c r="E246" t="str">
        <f>"C:\TOC3201\Methods\Itamar\acid_sample.met"</f>
        <v>C:\TOC3201\Methods\Itamar\acid_sample.met</v>
      </c>
      <c r="F246" t="str">
        <f>"C:\TOC3201\CalCurves\Itamar\C_cal_100ppm_acid_laurel.2019_08_15_10_24_40.cal"</f>
        <v>C:\TOC3201\CalCurves\Itamar\C_cal_100ppm_acid_laurel.2019_08_15_10_24_40.cal</v>
      </c>
      <c r="G246">
        <v>1</v>
      </c>
      <c r="H246" t="str">
        <f>""</f>
        <v/>
      </c>
      <c r="I246" t="str">
        <f>"8/15/2019 10:57:45 PM"</f>
        <v>8/15/2019 10:57:45 PM</v>
      </c>
      <c r="J246" t="str">
        <f>"1"</f>
        <v>1</v>
      </c>
      <c r="K246" t="str">
        <f>"3"</f>
        <v>3</v>
      </c>
      <c r="L246" t="str">
        <f>"NPOC"</f>
        <v>NPOC</v>
      </c>
      <c r="M246" t="str">
        <f>"17.53"</f>
        <v>17.53</v>
      </c>
      <c r="N246" t="str">
        <f>"3.660"</f>
        <v>3.660</v>
      </c>
      <c r="O246" t="str">
        <f>"NPOC:3.431mg/L TN:0.7267mg/L"</f>
        <v>NPOC:3.431mg/L TN:0.7267mg/L</v>
      </c>
      <c r="P246">
        <v>1</v>
      </c>
      <c r="Q246" t="str">
        <f>"80"</f>
        <v>80</v>
      </c>
    </row>
    <row r="247" spans="1:17" x14ac:dyDescent="0.2">
      <c r="A247" t="str">
        <f>"Unknown"</f>
        <v>Unknown</v>
      </c>
      <c r="B247" t="str">
        <f>"NPOC/TN"</f>
        <v>NPOC/TN</v>
      </c>
      <c r="C247" t="str">
        <f>"1081"</f>
        <v>1081</v>
      </c>
      <c r="D247" t="str">
        <f>"19"</f>
        <v>19</v>
      </c>
      <c r="E247" t="str">
        <f>"C:\TOC3201\Methods\Itamar\acid_sample.met"</f>
        <v>C:\TOC3201\Methods\Itamar\acid_sample.met</v>
      </c>
      <c r="F247" t="str">
        <f>"C:\TOC3201\CalCurves\Itamar\C_cal_100ppm_acid_laurel.2019_08_15_10_24_40.cal"</f>
        <v>C:\TOC3201\CalCurves\Itamar\C_cal_100ppm_acid_laurel.2019_08_15_10_24_40.cal</v>
      </c>
      <c r="G247">
        <v>1</v>
      </c>
      <c r="H247" t="str">
        <f>""</f>
        <v/>
      </c>
      <c r="I247" t="str">
        <f>"8/15/2019 11:00:49 PM"</f>
        <v>8/15/2019 11:00:49 PM</v>
      </c>
      <c r="J247" t="str">
        <f>"1"</f>
        <v>1</v>
      </c>
      <c r="K247" t="str">
        <f>"4"</f>
        <v>4</v>
      </c>
      <c r="L247" t="str">
        <f>"NPOC"</f>
        <v>NPOC</v>
      </c>
      <c r="M247" t="str">
        <f>"17.63"</f>
        <v>17.63</v>
      </c>
      <c r="N247" t="str">
        <f>"3.680"</f>
        <v>3.680</v>
      </c>
      <c r="O247" t="str">
        <f>"NPOC:3.431mg/L TN:0.7267mg/L"</f>
        <v>NPOC:3.431mg/L TN:0.7267mg/L</v>
      </c>
      <c r="P247">
        <v>1</v>
      </c>
      <c r="Q247" t="str">
        <f>"80"</f>
        <v>80</v>
      </c>
    </row>
    <row r="248" spans="1:17" x14ac:dyDescent="0.2">
      <c r="A248" t="str">
        <f>"Unknown"</f>
        <v>Unknown</v>
      </c>
      <c r="B248" t="str">
        <f>"NPOC/TN"</f>
        <v>NPOC/TN</v>
      </c>
      <c r="C248" t="str">
        <f>"1081"</f>
        <v>1081</v>
      </c>
      <c r="D248" t="str">
        <f>"19"</f>
        <v>19</v>
      </c>
      <c r="E248" t="str">
        <f>"C:\TOC3201\Methods\Itamar\acid_sample.met"</f>
        <v>C:\TOC3201\Methods\Itamar\acid_sample.met</v>
      </c>
      <c r="F248" t="str">
        <f>"C:\TOC3201\CalCurves\Itamar\C_cal_100ppm_acid_laurel.2019_08_15_10_24_40.cal"</f>
        <v>C:\TOC3201\CalCurves\Itamar\C_cal_100ppm_acid_laurel.2019_08_15_10_24_40.cal</v>
      </c>
      <c r="G248">
        <v>1</v>
      </c>
      <c r="H248" t="str">
        <f>""</f>
        <v/>
      </c>
      <c r="I248" t="str">
        <f>"8/15/2019 11:03:47 PM"</f>
        <v>8/15/2019 11:03:47 PM</v>
      </c>
      <c r="J248" t="str">
        <f>"1"</f>
        <v>1</v>
      </c>
      <c r="K248" t="str">
        <f>"5"</f>
        <v>5</v>
      </c>
      <c r="L248" t="str">
        <f>"NPOC"</f>
        <v>NPOC</v>
      </c>
      <c r="M248" t="str">
        <f>"16.45"</f>
        <v>16.45</v>
      </c>
      <c r="N248" t="str">
        <f>"3.438"</f>
        <v>3.438</v>
      </c>
      <c r="O248" t="str">
        <f>"NPOC:3.431mg/L TN:0.7267mg/L"</f>
        <v>NPOC:3.431mg/L TN:0.7267mg/L</v>
      </c>
      <c r="P248">
        <v>0</v>
      </c>
      <c r="Q248" t="str">
        <f>"80"</f>
        <v>80</v>
      </c>
    </row>
    <row r="249" spans="1:17" x14ac:dyDescent="0.2">
      <c r="A249" t="str">
        <f>"Unknown"</f>
        <v>Unknown</v>
      </c>
      <c r="B249" t="str">
        <f>"NPOC/TN"</f>
        <v>NPOC/TN</v>
      </c>
      <c r="C249" t="str">
        <f>"1081"</f>
        <v>1081</v>
      </c>
      <c r="D249" t="str">
        <f>"19"</f>
        <v>19</v>
      </c>
      <c r="E249" t="str">
        <f>"C:\TOC3201\Methods\Itamar\acid_sample.met"</f>
        <v>C:\TOC3201\Methods\Itamar\acid_sample.met</v>
      </c>
      <c r="F249" t="str">
        <f>"C:\TOC3201\CalCurves\Itamar\N_cal_25ppm_acid_laurel.2019_08_15_12_20_41.cal"</f>
        <v>C:\TOC3201\CalCurves\Itamar\N_cal_25ppm_acid_laurel.2019_08_15_12_20_41.cal</v>
      </c>
      <c r="G249">
        <v>1</v>
      </c>
      <c r="H249" t="str">
        <f>""</f>
        <v/>
      </c>
      <c r="I249" t="str">
        <f>"8/15/2019 10:51:40 PM"</f>
        <v>8/15/2019 10:51:40 PM</v>
      </c>
      <c r="J249" t="str">
        <f>"1"</f>
        <v>1</v>
      </c>
      <c r="K249" t="str">
        <f>"1"</f>
        <v>1</v>
      </c>
      <c r="L249" t="str">
        <f>"TN"</f>
        <v>TN</v>
      </c>
      <c r="M249" t="str">
        <f>"1.913"</f>
        <v>1.913</v>
      </c>
      <c r="N249" t="str">
        <f>"0.6483"</f>
        <v>0.6483</v>
      </c>
      <c r="O249" t="str">
        <f>"NPOC:3.431mg/L TN:0.7267mg/L"</f>
        <v>NPOC:3.431mg/L TN:0.7267mg/L</v>
      </c>
      <c r="P249">
        <v>1</v>
      </c>
      <c r="Q249" t="str">
        <f>"80"</f>
        <v>80</v>
      </c>
    </row>
    <row r="250" spans="1:17" x14ac:dyDescent="0.2">
      <c r="A250" t="str">
        <f>"Unknown"</f>
        <v>Unknown</v>
      </c>
      <c r="B250" t="str">
        <f>"NPOC/TN"</f>
        <v>NPOC/TN</v>
      </c>
      <c r="C250" t="str">
        <f>"1081"</f>
        <v>1081</v>
      </c>
      <c r="D250" t="str">
        <f>"19"</f>
        <v>19</v>
      </c>
      <c r="E250" t="str">
        <f>"C:\TOC3201\Methods\Itamar\acid_sample.met"</f>
        <v>C:\TOC3201\Methods\Itamar\acid_sample.met</v>
      </c>
      <c r="F250" t="str">
        <f>"C:\TOC3201\CalCurves\Itamar\N_cal_25ppm_acid_laurel.2019_08_15_12_20_41.cal"</f>
        <v>C:\TOC3201\CalCurves\Itamar\N_cal_25ppm_acid_laurel.2019_08_15_12_20_41.cal</v>
      </c>
      <c r="G250">
        <v>1</v>
      </c>
      <c r="H250" t="str">
        <f>""</f>
        <v/>
      </c>
      <c r="I250" t="str">
        <f>"8/15/2019 10:54:41 PM"</f>
        <v>8/15/2019 10:54:41 PM</v>
      </c>
      <c r="J250" t="str">
        <f>"1"</f>
        <v>1</v>
      </c>
      <c r="K250" t="str">
        <f>"2"</f>
        <v>2</v>
      </c>
      <c r="L250" t="str">
        <f>"TN"</f>
        <v>TN</v>
      </c>
      <c r="M250" t="str">
        <f>"2.294"</f>
        <v>2.294</v>
      </c>
      <c r="N250" t="str">
        <f>"0.7454"</f>
        <v>0.7454</v>
      </c>
      <c r="O250" t="str">
        <f>"NPOC:3.431mg/L TN:0.7267mg/L"</f>
        <v>NPOC:3.431mg/L TN:0.7267mg/L</v>
      </c>
      <c r="P250">
        <v>0</v>
      </c>
      <c r="Q250" t="str">
        <f>"80"</f>
        <v>80</v>
      </c>
    </row>
    <row r="251" spans="1:17" x14ac:dyDescent="0.2">
      <c r="A251" t="str">
        <f>"Unknown"</f>
        <v>Unknown</v>
      </c>
      <c r="B251" t="str">
        <f>"NPOC/TN"</f>
        <v>NPOC/TN</v>
      </c>
      <c r="C251" t="str">
        <f>"1081"</f>
        <v>1081</v>
      </c>
      <c r="D251" t="str">
        <f>"19"</f>
        <v>19</v>
      </c>
      <c r="E251" t="str">
        <f>"C:\TOC3201\Methods\Itamar\acid_sample.met"</f>
        <v>C:\TOC3201\Methods\Itamar\acid_sample.met</v>
      </c>
      <c r="F251" t="str">
        <f>"C:\TOC3201\CalCurves\Itamar\N_cal_25ppm_acid_laurel.2019_08_15_12_20_41.cal"</f>
        <v>C:\TOC3201\CalCurves\Itamar\N_cal_25ppm_acid_laurel.2019_08_15_12_20_41.cal</v>
      </c>
      <c r="G251">
        <v>1</v>
      </c>
      <c r="H251" t="str">
        <f>""</f>
        <v/>
      </c>
      <c r="I251" t="str">
        <f>"8/15/2019 10:57:45 PM"</f>
        <v>8/15/2019 10:57:45 PM</v>
      </c>
      <c r="J251" t="str">
        <f>"1"</f>
        <v>1</v>
      </c>
      <c r="K251" t="str">
        <f>"3"</f>
        <v>3</v>
      </c>
      <c r="L251" t="str">
        <f>"TN"</f>
        <v>TN</v>
      </c>
      <c r="M251" t="str">
        <f>"2.535"</f>
        <v>2.535</v>
      </c>
      <c r="N251" t="str">
        <f>"0.8068"</f>
        <v>0.8068</v>
      </c>
      <c r="O251" t="str">
        <f>"NPOC:3.431mg/L TN:0.7267mg/L"</f>
        <v>NPOC:3.431mg/L TN:0.7267mg/L</v>
      </c>
      <c r="P251">
        <v>1</v>
      </c>
      <c r="Q251" t="str">
        <f>"80"</f>
        <v>80</v>
      </c>
    </row>
    <row r="252" spans="1:17" x14ac:dyDescent="0.2">
      <c r="A252" t="str">
        <f>"Unknown"</f>
        <v>Unknown</v>
      </c>
      <c r="B252" t="str">
        <f>"NPOC/TN"</f>
        <v>NPOC/TN</v>
      </c>
      <c r="C252" t="str">
        <f>"1081"</f>
        <v>1081</v>
      </c>
      <c r="D252" t="str">
        <f>"19"</f>
        <v>19</v>
      </c>
      <c r="E252" t="str">
        <f>"C:\TOC3201\Methods\Itamar\acid_sample.met"</f>
        <v>C:\TOC3201\Methods\Itamar\acid_sample.met</v>
      </c>
      <c r="F252" t="str">
        <f>"C:\TOC3201\CalCurves\Itamar\N_cal_25ppm_acid_laurel.2019_08_15_12_20_41.cal"</f>
        <v>C:\TOC3201\CalCurves\Itamar\N_cal_25ppm_acid_laurel.2019_08_15_12_20_41.cal</v>
      </c>
      <c r="G252">
        <v>1</v>
      </c>
      <c r="H252" t="str">
        <f>""</f>
        <v/>
      </c>
      <c r="I252" t="str">
        <f>"8/15/2019 11:00:49 PM"</f>
        <v>8/15/2019 11:00:49 PM</v>
      </c>
      <c r="J252" t="str">
        <f>"1"</f>
        <v>1</v>
      </c>
      <c r="K252" t="str">
        <f>"4"</f>
        <v>4</v>
      </c>
      <c r="L252" t="str">
        <f>"TN"</f>
        <v>TN</v>
      </c>
      <c r="M252" t="str">
        <f>"2.196"</f>
        <v>2.196</v>
      </c>
      <c r="N252" t="str">
        <f>"0.7204"</f>
        <v>0.7204</v>
      </c>
      <c r="O252" t="str">
        <f>"NPOC:3.431mg/L TN:0.7267mg/L"</f>
        <v>NPOC:3.431mg/L TN:0.7267mg/L</v>
      </c>
      <c r="P252">
        <v>0</v>
      </c>
      <c r="Q252" t="str">
        <f>"80"</f>
        <v>80</v>
      </c>
    </row>
    <row r="253" spans="1:17" x14ac:dyDescent="0.2">
      <c r="A253" t="str">
        <f>"Unknown"</f>
        <v>Unknown</v>
      </c>
      <c r="B253" t="str">
        <f>"NPOC/TN"</f>
        <v>NPOC/TN</v>
      </c>
      <c r="C253" t="str">
        <f>"1081"</f>
        <v>1081</v>
      </c>
      <c r="D253" t="str">
        <f>"19"</f>
        <v>19</v>
      </c>
      <c r="E253" t="str">
        <f>"C:\TOC3201\Methods\Itamar\acid_sample.met"</f>
        <v>C:\TOC3201\Methods\Itamar\acid_sample.met</v>
      </c>
      <c r="F253" t="str">
        <f>"C:\TOC3201\CalCurves\Itamar\N_cal_25ppm_acid_laurel.2019_08_15_12_20_41.cal"</f>
        <v>C:\TOC3201\CalCurves\Itamar\N_cal_25ppm_acid_laurel.2019_08_15_12_20_41.cal</v>
      </c>
      <c r="G253">
        <v>1</v>
      </c>
      <c r="H253" t="str">
        <f>""</f>
        <v/>
      </c>
      <c r="I253" t="str">
        <f>"8/15/2019 11:03:47 PM"</f>
        <v>8/15/2019 11:03:47 PM</v>
      </c>
      <c r="J253" t="str">
        <f>"1"</f>
        <v>1</v>
      </c>
      <c r="K253" t="str">
        <f>"5"</f>
        <v>5</v>
      </c>
      <c r="L253" t="str">
        <f>"TN"</f>
        <v>TN</v>
      </c>
      <c r="M253" t="str">
        <f>"2.172"</f>
        <v>2.172</v>
      </c>
      <c r="N253" t="str">
        <f>"0.7143"</f>
        <v>0.7143</v>
      </c>
      <c r="O253" t="str">
        <f>"NPOC:3.431mg/L TN:0.7267mg/L"</f>
        <v>NPOC:3.431mg/L TN:0.7267mg/L</v>
      </c>
      <c r="P253">
        <v>0</v>
      </c>
      <c r="Q253" t="str">
        <f>"80"</f>
        <v>80</v>
      </c>
    </row>
    <row r="254" spans="1:17" x14ac:dyDescent="0.2">
      <c r="A254" t="str">
        <f>"Unknown"</f>
        <v>Unknown</v>
      </c>
      <c r="B254" t="str">
        <f>"NPOC/TN"</f>
        <v>NPOC/TN</v>
      </c>
      <c r="C254" t="str">
        <f>"1083"</f>
        <v>1083</v>
      </c>
      <c r="D254" t="str">
        <f>"20"</f>
        <v>20</v>
      </c>
      <c r="E254" t="str">
        <f>"C:\TOC3201\Methods\Itamar\acid_sample.met"</f>
        <v>C:\TOC3201\Methods\Itamar\acid_sample.met</v>
      </c>
      <c r="F254" t="str">
        <f>"C:\TOC3201\CalCurves\Itamar\C_cal_100ppm_acid_laurel.2019_08_15_10_24_40.cal"</f>
        <v>C:\TOC3201\CalCurves\Itamar\C_cal_100ppm_acid_laurel.2019_08_15_10_24_40.cal</v>
      </c>
      <c r="G254">
        <v>1</v>
      </c>
      <c r="H254" t="str">
        <f>""</f>
        <v/>
      </c>
      <c r="I254" t="str">
        <f>"8/15/2019 11:13:09 PM"</f>
        <v>8/15/2019 11:13:09 PM</v>
      </c>
      <c r="J254" t="str">
        <f>"1"</f>
        <v>1</v>
      </c>
      <c r="K254" t="str">
        <f>"1"</f>
        <v>1</v>
      </c>
      <c r="L254" t="str">
        <f>"NPOC"</f>
        <v>NPOC</v>
      </c>
      <c r="M254" t="str">
        <f>"17.58"</f>
        <v>17.58</v>
      </c>
      <c r="N254" t="str">
        <f>"3.670"</f>
        <v>3.670</v>
      </c>
      <c r="O254" t="str">
        <f>"NPOC:3.656mg/L TN:0.7818mg/L"</f>
        <v>NPOC:3.656mg/L TN:0.7818mg/L</v>
      </c>
      <c r="P254">
        <v>0</v>
      </c>
      <c r="Q254" t="str">
        <f>"80"</f>
        <v>80</v>
      </c>
    </row>
    <row r="255" spans="1:17" x14ac:dyDescent="0.2">
      <c r="A255" t="str">
        <f>"Unknown"</f>
        <v>Unknown</v>
      </c>
      <c r="B255" t="str">
        <f>"NPOC/TN"</f>
        <v>NPOC/TN</v>
      </c>
      <c r="C255" t="str">
        <f>"1083"</f>
        <v>1083</v>
      </c>
      <c r="D255" t="str">
        <f>"20"</f>
        <v>20</v>
      </c>
      <c r="E255" t="str">
        <f>"C:\TOC3201\Methods\Itamar\acid_sample.met"</f>
        <v>C:\TOC3201\Methods\Itamar\acid_sample.met</v>
      </c>
      <c r="F255" t="str">
        <f>"C:\TOC3201\CalCurves\Itamar\C_cal_100ppm_acid_laurel.2019_08_15_10_24_40.cal"</f>
        <v>C:\TOC3201\CalCurves\Itamar\C_cal_100ppm_acid_laurel.2019_08_15_10_24_40.cal</v>
      </c>
      <c r="G255">
        <v>1</v>
      </c>
      <c r="H255" t="str">
        <f>""</f>
        <v/>
      </c>
      <c r="I255" t="str">
        <f>"8/15/2019 11:16:03 PM"</f>
        <v>8/15/2019 11:16:03 PM</v>
      </c>
      <c r="J255" t="str">
        <f>"1"</f>
        <v>1</v>
      </c>
      <c r="K255" t="str">
        <f>"2"</f>
        <v>2</v>
      </c>
      <c r="L255" t="str">
        <f>"NPOC"</f>
        <v>NPOC</v>
      </c>
      <c r="M255" t="str">
        <f>"17.28"</f>
        <v>17.28</v>
      </c>
      <c r="N255" t="str">
        <f>"3.608"</f>
        <v>3.608</v>
      </c>
      <c r="O255" t="str">
        <f>"NPOC:3.656mg/L TN:0.7818mg/L"</f>
        <v>NPOC:3.656mg/L TN:0.7818mg/L</v>
      </c>
      <c r="P255">
        <v>0</v>
      </c>
      <c r="Q255" t="str">
        <f>"80"</f>
        <v>80</v>
      </c>
    </row>
    <row r="256" spans="1:17" x14ac:dyDescent="0.2">
      <c r="A256" t="str">
        <f>"Unknown"</f>
        <v>Unknown</v>
      </c>
      <c r="B256" t="str">
        <f>"NPOC/TN"</f>
        <v>NPOC/TN</v>
      </c>
      <c r="C256" t="str">
        <f>"1083"</f>
        <v>1083</v>
      </c>
      <c r="D256" t="str">
        <f>"20"</f>
        <v>20</v>
      </c>
      <c r="E256" t="str">
        <f>"C:\TOC3201\Methods\Itamar\acid_sample.met"</f>
        <v>C:\TOC3201\Methods\Itamar\acid_sample.met</v>
      </c>
      <c r="F256" t="str">
        <f>"C:\TOC3201\CalCurves\Itamar\C_cal_100ppm_acid_laurel.2019_08_15_10_24_40.cal"</f>
        <v>C:\TOC3201\CalCurves\Itamar\C_cal_100ppm_acid_laurel.2019_08_15_10_24_40.cal</v>
      </c>
      <c r="G256">
        <v>1</v>
      </c>
      <c r="H256" t="str">
        <f>""</f>
        <v/>
      </c>
      <c r="I256" t="str">
        <f>"8/15/2019 11:19:03 PM"</f>
        <v>8/15/2019 11:19:03 PM</v>
      </c>
      <c r="J256" t="str">
        <f>"1"</f>
        <v>1</v>
      </c>
      <c r="K256" t="str">
        <f>"3"</f>
        <v>3</v>
      </c>
      <c r="L256" t="str">
        <f>"NPOC"</f>
        <v>NPOC</v>
      </c>
      <c r="M256" t="str">
        <f>"18.96"</f>
        <v>18.96</v>
      </c>
      <c r="N256" t="str">
        <f>"3.953"</f>
        <v>3.953</v>
      </c>
      <c r="O256" t="str">
        <f>"NPOC:3.656mg/L TN:0.7818mg/L"</f>
        <v>NPOC:3.656mg/L TN:0.7818mg/L</v>
      </c>
      <c r="P256">
        <v>1</v>
      </c>
      <c r="Q256" t="str">
        <f>"80"</f>
        <v>80</v>
      </c>
    </row>
    <row r="257" spans="1:17" x14ac:dyDescent="0.2">
      <c r="A257" t="str">
        <f>"Unknown"</f>
        <v>Unknown</v>
      </c>
      <c r="B257" t="str">
        <f>"NPOC/TN"</f>
        <v>NPOC/TN</v>
      </c>
      <c r="C257" t="str">
        <f>"1083"</f>
        <v>1083</v>
      </c>
      <c r="D257" t="str">
        <f>"20"</f>
        <v>20</v>
      </c>
      <c r="E257" t="str">
        <f>"C:\TOC3201\Methods\Itamar\acid_sample.met"</f>
        <v>C:\TOC3201\Methods\Itamar\acid_sample.met</v>
      </c>
      <c r="F257" t="str">
        <f>"C:\TOC3201\CalCurves\Itamar\C_cal_100ppm_acid_laurel.2019_08_15_10_24_40.cal"</f>
        <v>C:\TOC3201\CalCurves\Itamar\C_cal_100ppm_acid_laurel.2019_08_15_10_24_40.cal</v>
      </c>
      <c r="G257">
        <v>1</v>
      </c>
      <c r="H257" t="str">
        <f>""</f>
        <v/>
      </c>
      <c r="I257" t="str">
        <f>"8/15/2019 11:22:09 PM"</f>
        <v>8/15/2019 11:22:09 PM</v>
      </c>
      <c r="J257" t="str">
        <f>"1"</f>
        <v>1</v>
      </c>
      <c r="K257" t="str">
        <f>"4"</f>
        <v>4</v>
      </c>
      <c r="L257" t="str">
        <f>"NPOC"</f>
        <v>NPOC</v>
      </c>
      <c r="M257" t="str">
        <f>"18.44"</f>
        <v>18.44</v>
      </c>
      <c r="N257" t="str">
        <f>"3.847"</f>
        <v>3.847</v>
      </c>
      <c r="O257" t="str">
        <f>"NPOC:3.656mg/L TN:0.7818mg/L"</f>
        <v>NPOC:3.656mg/L TN:0.7818mg/L</v>
      </c>
      <c r="P257">
        <v>1</v>
      </c>
      <c r="Q257" t="str">
        <f>"80"</f>
        <v>80</v>
      </c>
    </row>
    <row r="258" spans="1:17" x14ac:dyDescent="0.2">
      <c r="A258" t="str">
        <f>"Unknown"</f>
        <v>Unknown</v>
      </c>
      <c r="B258" t="str">
        <f>"NPOC/TN"</f>
        <v>NPOC/TN</v>
      </c>
      <c r="C258" t="str">
        <f>"1083"</f>
        <v>1083</v>
      </c>
      <c r="D258" t="str">
        <f>"20"</f>
        <v>20</v>
      </c>
      <c r="E258" t="str">
        <f>"C:\TOC3201\Methods\Itamar\acid_sample.met"</f>
        <v>C:\TOC3201\Methods\Itamar\acid_sample.met</v>
      </c>
      <c r="F258" t="str">
        <f>"C:\TOC3201\CalCurves\Itamar\C_cal_100ppm_acid_laurel.2019_08_15_10_24_40.cal"</f>
        <v>C:\TOC3201\CalCurves\Itamar\C_cal_100ppm_acid_laurel.2019_08_15_10_24_40.cal</v>
      </c>
      <c r="G258">
        <v>1</v>
      </c>
      <c r="H258" t="str">
        <f>""</f>
        <v/>
      </c>
      <c r="I258" t="str">
        <f>"8/15/2019 11:25:09 PM"</f>
        <v>8/15/2019 11:25:09 PM</v>
      </c>
      <c r="J258" t="str">
        <f>"1"</f>
        <v>1</v>
      </c>
      <c r="K258" t="str">
        <f>"5"</f>
        <v>5</v>
      </c>
      <c r="L258" t="str">
        <f>"NPOC"</f>
        <v>NPOC</v>
      </c>
      <c r="M258" t="str">
        <f>"17.68"</f>
        <v>17.68</v>
      </c>
      <c r="N258" t="str">
        <f>"3.691"</f>
        <v>3.691</v>
      </c>
      <c r="O258" t="str">
        <f>"NPOC:3.656mg/L TN:0.7818mg/L"</f>
        <v>NPOC:3.656mg/L TN:0.7818mg/L</v>
      </c>
      <c r="P258">
        <v>0</v>
      </c>
      <c r="Q258" t="str">
        <f>"80"</f>
        <v>80</v>
      </c>
    </row>
    <row r="259" spans="1:17" x14ac:dyDescent="0.2">
      <c r="A259" t="str">
        <f>"Unknown"</f>
        <v>Unknown</v>
      </c>
      <c r="B259" t="str">
        <f>"NPOC/TN"</f>
        <v>NPOC/TN</v>
      </c>
      <c r="C259" t="str">
        <f>"1083"</f>
        <v>1083</v>
      </c>
      <c r="D259" t="str">
        <f>"20"</f>
        <v>20</v>
      </c>
      <c r="E259" t="str">
        <f>"C:\TOC3201\Methods\Itamar\acid_sample.met"</f>
        <v>C:\TOC3201\Methods\Itamar\acid_sample.met</v>
      </c>
      <c r="F259" t="str">
        <f>"C:\TOC3201\CalCurves\Itamar\N_cal_25ppm_acid_laurel.2019_08_15_12_20_41.cal"</f>
        <v>C:\TOC3201\CalCurves\Itamar\N_cal_25ppm_acid_laurel.2019_08_15_12_20_41.cal</v>
      </c>
      <c r="G259">
        <v>1</v>
      </c>
      <c r="H259" t="str">
        <f>""</f>
        <v/>
      </c>
      <c r="I259" t="str">
        <f>"8/15/2019 11:13:09 PM"</f>
        <v>8/15/2019 11:13:09 PM</v>
      </c>
      <c r="J259" t="str">
        <f>"1"</f>
        <v>1</v>
      </c>
      <c r="K259" t="str">
        <f>"1"</f>
        <v>1</v>
      </c>
      <c r="L259" t="str">
        <f>"TN"</f>
        <v>TN</v>
      </c>
      <c r="M259" t="str">
        <f>"2.057"</f>
        <v>2.057</v>
      </c>
      <c r="N259" t="str">
        <f>"0.6850"</f>
        <v>0.6850</v>
      </c>
      <c r="O259" t="str">
        <f>"NPOC:3.656mg/L TN:0.7818mg/L"</f>
        <v>NPOC:3.656mg/L TN:0.7818mg/L</v>
      </c>
      <c r="P259">
        <v>1</v>
      </c>
      <c r="Q259" t="str">
        <f>"80"</f>
        <v>80</v>
      </c>
    </row>
    <row r="260" spans="1:17" x14ac:dyDescent="0.2">
      <c r="A260" t="str">
        <f>"Unknown"</f>
        <v>Unknown</v>
      </c>
      <c r="B260" t="str">
        <f>"NPOC/TN"</f>
        <v>NPOC/TN</v>
      </c>
      <c r="C260" t="str">
        <f>"1083"</f>
        <v>1083</v>
      </c>
      <c r="D260" t="str">
        <f>"20"</f>
        <v>20</v>
      </c>
      <c r="E260" t="str">
        <f>"C:\TOC3201\Methods\Itamar\acid_sample.met"</f>
        <v>C:\TOC3201\Methods\Itamar\acid_sample.met</v>
      </c>
      <c r="F260" t="str">
        <f>"C:\TOC3201\CalCurves\Itamar\N_cal_25ppm_acid_laurel.2019_08_15_12_20_41.cal"</f>
        <v>C:\TOC3201\CalCurves\Itamar\N_cal_25ppm_acid_laurel.2019_08_15_12_20_41.cal</v>
      </c>
      <c r="G260">
        <v>1</v>
      </c>
      <c r="H260" t="str">
        <f>""</f>
        <v/>
      </c>
      <c r="I260" t="str">
        <f>"8/15/2019 11:16:03 PM"</f>
        <v>8/15/2019 11:16:03 PM</v>
      </c>
      <c r="J260" t="str">
        <f>"1"</f>
        <v>1</v>
      </c>
      <c r="K260" t="str">
        <f>"2"</f>
        <v>2</v>
      </c>
      <c r="L260" t="str">
        <f>"TN"</f>
        <v>TN</v>
      </c>
      <c r="M260" t="str">
        <f>"2.530"</f>
        <v>2.530</v>
      </c>
      <c r="N260" t="str">
        <f>"0.8055"</f>
        <v>0.8055</v>
      </c>
      <c r="O260" t="str">
        <f>"NPOC:3.656mg/L TN:0.7818mg/L"</f>
        <v>NPOC:3.656mg/L TN:0.7818mg/L</v>
      </c>
      <c r="P260">
        <v>0</v>
      </c>
      <c r="Q260" t="str">
        <f>"80"</f>
        <v>80</v>
      </c>
    </row>
    <row r="261" spans="1:17" x14ac:dyDescent="0.2">
      <c r="A261" t="str">
        <f>"Unknown"</f>
        <v>Unknown</v>
      </c>
      <c r="B261" t="str">
        <f>"NPOC/TN"</f>
        <v>NPOC/TN</v>
      </c>
      <c r="C261" t="str">
        <f>"1083"</f>
        <v>1083</v>
      </c>
      <c r="D261" t="str">
        <f>"20"</f>
        <v>20</v>
      </c>
      <c r="E261" t="str">
        <f>"C:\TOC3201\Methods\Itamar\acid_sample.met"</f>
        <v>C:\TOC3201\Methods\Itamar\acid_sample.met</v>
      </c>
      <c r="F261" t="str">
        <f>"C:\TOC3201\CalCurves\Itamar\N_cal_25ppm_acid_laurel.2019_08_15_12_20_41.cal"</f>
        <v>C:\TOC3201\CalCurves\Itamar\N_cal_25ppm_acid_laurel.2019_08_15_12_20_41.cal</v>
      </c>
      <c r="G261">
        <v>1</v>
      </c>
      <c r="H261" t="str">
        <f>""</f>
        <v/>
      </c>
      <c r="I261" t="str">
        <f>"8/15/2019 11:19:03 PM"</f>
        <v>8/15/2019 11:19:03 PM</v>
      </c>
      <c r="J261" t="str">
        <f>"1"</f>
        <v>1</v>
      </c>
      <c r="K261" t="str">
        <f>"3"</f>
        <v>3</v>
      </c>
      <c r="L261" t="str">
        <f>"TN"</f>
        <v>TN</v>
      </c>
      <c r="M261" t="str">
        <f>"2.505"</f>
        <v>2.505</v>
      </c>
      <c r="N261" t="str">
        <f>"0.7992"</f>
        <v>0.7992</v>
      </c>
      <c r="O261" t="str">
        <f>"NPOC:3.656mg/L TN:0.7818mg/L"</f>
        <v>NPOC:3.656mg/L TN:0.7818mg/L</v>
      </c>
      <c r="P261">
        <v>0</v>
      </c>
      <c r="Q261" t="str">
        <f>"80"</f>
        <v>80</v>
      </c>
    </row>
    <row r="262" spans="1:17" x14ac:dyDescent="0.2">
      <c r="A262" t="str">
        <f>"Unknown"</f>
        <v>Unknown</v>
      </c>
      <c r="B262" t="str">
        <f>"NPOC/TN"</f>
        <v>NPOC/TN</v>
      </c>
      <c r="C262" t="str">
        <f>"1083"</f>
        <v>1083</v>
      </c>
      <c r="D262" t="str">
        <f>"20"</f>
        <v>20</v>
      </c>
      <c r="E262" t="str">
        <f>"C:\TOC3201\Methods\Itamar\acid_sample.met"</f>
        <v>C:\TOC3201\Methods\Itamar\acid_sample.met</v>
      </c>
      <c r="F262" t="str">
        <f>"C:\TOC3201\CalCurves\Itamar\N_cal_25ppm_acid_laurel.2019_08_15_12_20_41.cal"</f>
        <v>C:\TOC3201\CalCurves\Itamar\N_cal_25ppm_acid_laurel.2019_08_15_12_20_41.cal</v>
      </c>
      <c r="G262">
        <v>1</v>
      </c>
      <c r="H262" t="str">
        <f>""</f>
        <v/>
      </c>
      <c r="I262" t="str">
        <f>"8/15/2019 11:22:09 PM"</f>
        <v>8/15/2019 11:22:09 PM</v>
      </c>
      <c r="J262" t="str">
        <f>"1"</f>
        <v>1</v>
      </c>
      <c r="K262" t="str">
        <f>"4"</f>
        <v>4</v>
      </c>
      <c r="L262" t="str">
        <f>"TN"</f>
        <v>TN</v>
      </c>
      <c r="M262" t="str">
        <f>"2.005"</f>
        <v>2.005</v>
      </c>
      <c r="N262" t="str">
        <f>"0.6718"</f>
        <v>0.6718</v>
      </c>
      <c r="O262" t="str">
        <f>"NPOC:3.656mg/L TN:0.7818mg/L"</f>
        <v>NPOC:3.656mg/L TN:0.7818mg/L</v>
      </c>
      <c r="P262">
        <v>1</v>
      </c>
      <c r="Q262" t="str">
        <f>"80"</f>
        <v>80</v>
      </c>
    </row>
    <row r="263" spans="1:17" x14ac:dyDescent="0.2">
      <c r="A263" t="str">
        <f>"Unknown"</f>
        <v>Unknown</v>
      </c>
      <c r="B263" t="str">
        <f>"NPOC/TN"</f>
        <v>NPOC/TN</v>
      </c>
      <c r="C263" t="str">
        <f>"1083"</f>
        <v>1083</v>
      </c>
      <c r="D263" t="str">
        <f>"20"</f>
        <v>20</v>
      </c>
      <c r="E263" t="str">
        <f>"C:\TOC3201\Methods\Itamar\acid_sample.met"</f>
        <v>C:\TOC3201\Methods\Itamar\acid_sample.met</v>
      </c>
      <c r="F263" t="str">
        <f>"C:\TOC3201\CalCurves\Itamar\N_cal_25ppm_acid_laurel.2019_08_15_12_20_41.cal"</f>
        <v>C:\TOC3201\CalCurves\Itamar\N_cal_25ppm_acid_laurel.2019_08_15_12_20_41.cal</v>
      </c>
      <c r="G263">
        <v>1</v>
      </c>
      <c r="H263" t="str">
        <f>""</f>
        <v/>
      </c>
      <c r="I263" t="str">
        <f>"8/15/2019 11:25:09 PM"</f>
        <v>8/15/2019 11:25:09 PM</v>
      </c>
      <c r="J263" t="str">
        <f>"1"</f>
        <v>1</v>
      </c>
      <c r="K263" t="str">
        <f>"5"</f>
        <v>5</v>
      </c>
      <c r="L263" t="str">
        <f>"TN"</f>
        <v>TN</v>
      </c>
      <c r="M263" t="str">
        <f>"2.276"</f>
        <v>2.276</v>
      </c>
      <c r="N263" t="str">
        <f>"0.7408"</f>
        <v>0.7408</v>
      </c>
      <c r="O263" t="str">
        <f>"NPOC:3.656mg/L TN:0.7818mg/L"</f>
        <v>NPOC:3.656mg/L TN:0.7818mg/L</v>
      </c>
      <c r="P263">
        <v>0</v>
      </c>
      <c r="Q263" t="str">
        <f>"80"</f>
        <v>80</v>
      </c>
    </row>
    <row r="264" spans="1:17" x14ac:dyDescent="0.2">
      <c r="A264" t="str">
        <f>"Unknown"</f>
        <v>Unknown</v>
      </c>
      <c r="B264" t="str">
        <f>"NPOC/TN"</f>
        <v>NPOC/TN</v>
      </c>
      <c r="C264" t="str">
        <f>"1085"</f>
        <v>1085</v>
      </c>
      <c r="D264" t="str">
        <f>"21"</f>
        <v>21</v>
      </c>
      <c r="E264" t="str">
        <f>"C:\TOC3201\Methods\Itamar\acid_sample.met"</f>
        <v>C:\TOC3201\Methods\Itamar\acid_sample.met</v>
      </c>
      <c r="F264" t="str">
        <f>"C:\TOC3201\CalCurves\Itamar\C_cal_100ppm_acid_laurel.2019_08_15_10_24_40.cal"</f>
        <v>C:\TOC3201\CalCurves\Itamar\C_cal_100ppm_acid_laurel.2019_08_15_10_24_40.cal</v>
      </c>
      <c r="G264">
        <v>1</v>
      </c>
      <c r="H264" t="str">
        <f>""</f>
        <v/>
      </c>
      <c r="I264" t="str">
        <f>"8/15/2019 11:34:39 PM"</f>
        <v>8/15/2019 11:34:39 PM</v>
      </c>
      <c r="J264" t="str">
        <f>"1"</f>
        <v>1</v>
      </c>
      <c r="K264" t="str">
        <f>"1"</f>
        <v>1</v>
      </c>
      <c r="L264" t="str">
        <f>"NPOC"</f>
        <v>NPOC</v>
      </c>
      <c r="M264" t="str">
        <f>"17.85"</f>
        <v>17.85</v>
      </c>
      <c r="N264" t="str">
        <f>"3.726"</f>
        <v>3.726</v>
      </c>
      <c r="O264" t="str">
        <f>"NPOC:3.696mg/L TN:0.7929mg/L"</f>
        <v>NPOC:3.696mg/L TN:0.7929mg/L</v>
      </c>
      <c r="P264">
        <v>0</v>
      </c>
      <c r="Q264" t="str">
        <f>"80"</f>
        <v>80</v>
      </c>
    </row>
    <row r="265" spans="1:17" x14ac:dyDescent="0.2">
      <c r="A265" t="str">
        <f>"Unknown"</f>
        <v>Unknown</v>
      </c>
      <c r="B265" t="str">
        <f>"NPOC/TN"</f>
        <v>NPOC/TN</v>
      </c>
      <c r="C265" t="str">
        <f>"1085"</f>
        <v>1085</v>
      </c>
      <c r="D265" t="str">
        <f>"21"</f>
        <v>21</v>
      </c>
      <c r="E265" t="str">
        <f>"C:\TOC3201\Methods\Itamar\acid_sample.met"</f>
        <v>C:\TOC3201\Methods\Itamar\acid_sample.met</v>
      </c>
      <c r="F265" t="str">
        <f>"C:\TOC3201\CalCurves\Itamar\C_cal_100ppm_acid_laurel.2019_08_15_10_24_40.cal"</f>
        <v>C:\TOC3201\CalCurves\Itamar\C_cal_100ppm_acid_laurel.2019_08_15_10_24_40.cal</v>
      </c>
      <c r="G265">
        <v>1</v>
      </c>
      <c r="H265" t="str">
        <f>""</f>
        <v/>
      </c>
      <c r="I265" t="str">
        <f>"8/15/2019 11:37:34 PM"</f>
        <v>8/15/2019 11:37:34 PM</v>
      </c>
      <c r="J265" t="str">
        <f>"1"</f>
        <v>1</v>
      </c>
      <c r="K265" t="str">
        <f>"2"</f>
        <v>2</v>
      </c>
      <c r="L265" t="str">
        <f>"NPOC"</f>
        <v>NPOC</v>
      </c>
      <c r="M265" t="str">
        <f>"17.66"</f>
        <v>17.66</v>
      </c>
      <c r="N265" t="str">
        <f>"3.687"</f>
        <v>3.687</v>
      </c>
      <c r="O265" t="str">
        <f>"NPOC:3.696mg/L TN:0.7929mg/L"</f>
        <v>NPOC:3.696mg/L TN:0.7929mg/L</v>
      </c>
      <c r="P265">
        <v>0</v>
      </c>
      <c r="Q265" t="str">
        <f>"80"</f>
        <v>80</v>
      </c>
    </row>
    <row r="266" spans="1:17" x14ac:dyDescent="0.2">
      <c r="A266" t="str">
        <f>"Unknown"</f>
        <v>Unknown</v>
      </c>
      <c r="B266" t="str">
        <f>"NPOC/TN"</f>
        <v>NPOC/TN</v>
      </c>
      <c r="C266" t="str">
        <f>"1085"</f>
        <v>1085</v>
      </c>
      <c r="D266" t="str">
        <f>"21"</f>
        <v>21</v>
      </c>
      <c r="E266" t="str">
        <f>"C:\TOC3201\Methods\Itamar\acid_sample.met"</f>
        <v>C:\TOC3201\Methods\Itamar\acid_sample.met</v>
      </c>
      <c r="F266" t="str">
        <f>"C:\TOC3201\CalCurves\Itamar\C_cal_100ppm_acid_laurel.2019_08_15_10_24_40.cal"</f>
        <v>C:\TOC3201\CalCurves\Itamar\C_cal_100ppm_acid_laurel.2019_08_15_10_24_40.cal</v>
      </c>
      <c r="G266">
        <v>1</v>
      </c>
      <c r="H266" t="str">
        <f>""</f>
        <v/>
      </c>
      <c r="I266" t="str">
        <f>"8/15/2019 11:40:31 PM"</f>
        <v>8/15/2019 11:40:31 PM</v>
      </c>
      <c r="J266" t="str">
        <f>"1"</f>
        <v>1</v>
      </c>
      <c r="K266" t="str">
        <f>"3"</f>
        <v>3</v>
      </c>
      <c r="L266" t="str">
        <f>"NPOC"</f>
        <v>NPOC</v>
      </c>
      <c r="M266" t="str">
        <f>"18.52"</f>
        <v>18.52</v>
      </c>
      <c r="N266" t="str">
        <f>"3.863"</f>
        <v>3.863</v>
      </c>
      <c r="O266" t="str">
        <f>"NPOC:3.696mg/L TN:0.7929mg/L"</f>
        <v>NPOC:3.696mg/L TN:0.7929mg/L</v>
      </c>
      <c r="P266">
        <v>1</v>
      </c>
      <c r="Q266" t="str">
        <f>"80"</f>
        <v>80</v>
      </c>
    </row>
    <row r="267" spans="1:17" x14ac:dyDescent="0.2">
      <c r="A267" t="str">
        <f>"Unknown"</f>
        <v>Unknown</v>
      </c>
      <c r="B267" t="str">
        <f>"NPOC/TN"</f>
        <v>NPOC/TN</v>
      </c>
      <c r="C267" t="str">
        <f>"1085"</f>
        <v>1085</v>
      </c>
      <c r="D267" t="str">
        <f>"21"</f>
        <v>21</v>
      </c>
      <c r="E267" t="str">
        <f>"C:\TOC3201\Methods\Itamar\acid_sample.met"</f>
        <v>C:\TOC3201\Methods\Itamar\acid_sample.met</v>
      </c>
      <c r="F267" t="str">
        <f>"C:\TOC3201\CalCurves\Itamar\C_cal_100ppm_acid_laurel.2019_08_15_10_24_40.cal"</f>
        <v>C:\TOC3201\CalCurves\Itamar\C_cal_100ppm_acid_laurel.2019_08_15_10_24_40.cal</v>
      </c>
      <c r="G267">
        <v>1</v>
      </c>
      <c r="H267" t="str">
        <f>""</f>
        <v/>
      </c>
      <c r="I267" t="str">
        <f>"8/15/2019 11:43:42 PM"</f>
        <v>8/15/2019 11:43:42 PM</v>
      </c>
      <c r="J267" t="str">
        <f>"1"</f>
        <v>1</v>
      </c>
      <c r="K267" t="str">
        <f>"4"</f>
        <v>4</v>
      </c>
      <c r="L267" t="str">
        <f>"NPOC"</f>
        <v>NPOC</v>
      </c>
      <c r="M267" t="str">
        <f>"18.64"</f>
        <v>18.64</v>
      </c>
      <c r="N267" t="str">
        <f>"3.888"</f>
        <v>3.888</v>
      </c>
      <c r="O267" t="str">
        <f>"NPOC:3.696mg/L TN:0.7929mg/L"</f>
        <v>NPOC:3.696mg/L TN:0.7929mg/L</v>
      </c>
      <c r="P267">
        <v>1</v>
      </c>
      <c r="Q267" t="str">
        <f>"80"</f>
        <v>80</v>
      </c>
    </row>
    <row r="268" spans="1:17" x14ac:dyDescent="0.2">
      <c r="A268" t="str">
        <f>"Unknown"</f>
        <v>Unknown</v>
      </c>
      <c r="B268" t="str">
        <f>"NPOC/TN"</f>
        <v>NPOC/TN</v>
      </c>
      <c r="C268" t="str">
        <f>"1085"</f>
        <v>1085</v>
      </c>
      <c r="D268" t="str">
        <f>"21"</f>
        <v>21</v>
      </c>
      <c r="E268" t="str">
        <f>"C:\TOC3201\Methods\Itamar\acid_sample.met"</f>
        <v>C:\TOC3201\Methods\Itamar\acid_sample.met</v>
      </c>
      <c r="F268" t="str">
        <f>"C:\TOC3201\CalCurves\Itamar\C_cal_100ppm_acid_laurel.2019_08_15_10_24_40.cal"</f>
        <v>C:\TOC3201\CalCurves\Itamar\C_cal_100ppm_acid_laurel.2019_08_15_10_24_40.cal</v>
      </c>
      <c r="G268">
        <v>1</v>
      </c>
      <c r="H268" t="str">
        <f>""</f>
        <v/>
      </c>
      <c r="I268" t="str">
        <f>"8/15/2019 11:46:36 PM"</f>
        <v>8/15/2019 11:46:36 PM</v>
      </c>
      <c r="J268" t="str">
        <f>"1"</f>
        <v>1</v>
      </c>
      <c r="K268" t="str">
        <f>"5"</f>
        <v>5</v>
      </c>
      <c r="L268" t="str">
        <f>"NPOC"</f>
        <v>NPOC</v>
      </c>
      <c r="M268" t="str">
        <f>"17.61"</f>
        <v>17.61</v>
      </c>
      <c r="N268" t="str">
        <f>"3.676"</f>
        <v>3.676</v>
      </c>
      <c r="O268" t="str">
        <f>"NPOC:3.696mg/L TN:0.7929mg/L"</f>
        <v>NPOC:3.696mg/L TN:0.7929mg/L</v>
      </c>
      <c r="P268">
        <v>0</v>
      </c>
      <c r="Q268" t="str">
        <f>"80"</f>
        <v>80</v>
      </c>
    </row>
    <row r="269" spans="1:17" x14ac:dyDescent="0.2">
      <c r="A269" t="str">
        <f>"Unknown"</f>
        <v>Unknown</v>
      </c>
      <c r="B269" t="str">
        <f>"NPOC/TN"</f>
        <v>NPOC/TN</v>
      </c>
      <c r="C269" t="str">
        <f>"1085"</f>
        <v>1085</v>
      </c>
      <c r="D269" t="str">
        <f>"21"</f>
        <v>21</v>
      </c>
      <c r="E269" t="str">
        <f>"C:\TOC3201\Methods\Itamar\acid_sample.met"</f>
        <v>C:\TOC3201\Methods\Itamar\acid_sample.met</v>
      </c>
      <c r="F269" t="str">
        <f>"C:\TOC3201\CalCurves\Itamar\N_cal_25ppm_acid_laurel.2019_08_15_12_20_41.cal"</f>
        <v>C:\TOC3201\CalCurves\Itamar\N_cal_25ppm_acid_laurel.2019_08_15_12_20_41.cal</v>
      </c>
      <c r="G269">
        <v>1</v>
      </c>
      <c r="H269" t="str">
        <f>""</f>
        <v/>
      </c>
      <c r="I269" t="str">
        <f>"8/15/2019 11:34:39 PM"</f>
        <v>8/15/2019 11:34:39 PM</v>
      </c>
      <c r="J269" t="str">
        <f>"1"</f>
        <v>1</v>
      </c>
      <c r="K269" t="str">
        <f>"1"</f>
        <v>1</v>
      </c>
      <c r="L269" t="str">
        <f>"TN"</f>
        <v>TN</v>
      </c>
      <c r="M269" t="str">
        <f>"2.387"</f>
        <v>2.387</v>
      </c>
      <c r="N269" t="str">
        <f>"0.7691"</f>
        <v>0.7691</v>
      </c>
      <c r="O269" t="str">
        <f>"NPOC:3.696mg/L TN:0.7929mg/L"</f>
        <v>NPOC:3.696mg/L TN:0.7929mg/L</v>
      </c>
      <c r="P269">
        <v>0</v>
      </c>
      <c r="Q269" t="str">
        <f>"80"</f>
        <v>80</v>
      </c>
    </row>
    <row r="270" spans="1:17" x14ac:dyDescent="0.2">
      <c r="A270" t="str">
        <f>"Unknown"</f>
        <v>Unknown</v>
      </c>
      <c r="B270" t="str">
        <f>"NPOC/TN"</f>
        <v>NPOC/TN</v>
      </c>
      <c r="C270" t="str">
        <f>"1085"</f>
        <v>1085</v>
      </c>
      <c r="D270" t="str">
        <f>"21"</f>
        <v>21</v>
      </c>
      <c r="E270" t="str">
        <f>"C:\TOC3201\Methods\Itamar\acid_sample.met"</f>
        <v>C:\TOC3201\Methods\Itamar\acid_sample.met</v>
      </c>
      <c r="F270" t="str">
        <f>"C:\TOC3201\CalCurves\Itamar\N_cal_25ppm_acid_laurel.2019_08_15_12_20_41.cal"</f>
        <v>C:\TOC3201\CalCurves\Itamar\N_cal_25ppm_acid_laurel.2019_08_15_12_20_41.cal</v>
      </c>
      <c r="G270">
        <v>1</v>
      </c>
      <c r="H270" t="str">
        <f>""</f>
        <v/>
      </c>
      <c r="I270" t="str">
        <f>"8/15/2019 11:37:34 PM"</f>
        <v>8/15/2019 11:37:34 PM</v>
      </c>
      <c r="J270" t="str">
        <f>"1"</f>
        <v>1</v>
      </c>
      <c r="K270" t="str">
        <f>"2"</f>
        <v>2</v>
      </c>
      <c r="L270" t="str">
        <f>"TN"</f>
        <v>TN</v>
      </c>
      <c r="M270" t="str">
        <f>"2.513"</f>
        <v>2.513</v>
      </c>
      <c r="N270" t="str">
        <f>"0.8012"</f>
        <v>0.8012</v>
      </c>
      <c r="O270" t="str">
        <f>"NPOC:3.696mg/L TN:0.7929mg/L"</f>
        <v>NPOC:3.696mg/L TN:0.7929mg/L</v>
      </c>
      <c r="P270">
        <v>0</v>
      </c>
      <c r="Q270" t="str">
        <f>"80"</f>
        <v>80</v>
      </c>
    </row>
    <row r="271" spans="1:17" x14ac:dyDescent="0.2">
      <c r="A271" t="str">
        <f>"Unknown"</f>
        <v>Unknown</v>
      </c>
      <c r="B271" t="str">
        <f>"NPOC/TN"</f>
        <v>NPOC/TN</v>
      </c>
      <c r="C271" t="str">
        <f>"1085"</f>
        <v>1085</v>
      </c>
      <c r="D271" t="str">
        <f>"21"</f>
        <v>21</v>
      </c>
      <c r="E271" t="str">
        <f>"C:\TOC3201\Methods\Itamar\acid_sample.met"</f>
        <v>C:\TOC3201\Methods\Itamar\acid_sample.met</v>
      </c>
      <c r="F271" t="str">
        <f>"C:\TOC3201\CalCurves\Itamar\N_cal_25ppm_acid_laurel.2019_08_15_12_20_41.cal"</f>
        <v>C:\TOC3201\CalCurves\Itamar\N_cal_25ppm_acid_laurel.2019_08_15_12_20_41.cal</v>
      </c>
      <c r="G271">
        <v>1</v>
      </c>
      <c r="H271" t="str">
        <f>""</f>
        <v/>
      </c>
      <c r="I271" t="str">
        <f>"8/15/2019 11:40:31 PM"</f>
        <v>8/15/2019 11:40:31 PM</v>
      </c>
      <c r="J271" t="str">
        <f>"1"</f>
        <v>1</v>
      </c>
      <c r="K271" t="str">
        <f>"3"</f>
        <v>3</v>
      </c>
      <c r="L271" t="str">
        <f>"TN"</f>
        <v>TN</v>
      </c>
      <c r="M271" t="str">
        <f>"2.721"</f>
        <v>2.721</v>
      </c>
      <c r="N271" t="str">
        <f>"0.8542"</f>
        <v>0.8542</v>
      </c>
      <c r="O271" t="str">
        <f>"NPOC:3.696mg/L TN:0.7929mg/L"</f>
        <v>NPOC:3.696mg/L TN:0.7929mg/L</v>
      </c>
      <c r="P271">
        <v>1</v>
      </c>
      <c r="Q271" t="str">
        <f>"80"</f>
        <v>80</v>
      </c>
    </row>
    <row r="272" spans="1:17" x14ac:dyDescent="0.2">
      <c r="A272" t="str">
        <f>"Unknown"</f>
        <v>Unknown</v>
      </c>
      <c r="B272" t="str">
        <f>"NPOC/TN"</f>
        <v>NPOC/TN</v>
      </c>
      <c r="C272" t="str">
        <f>"1085"</f>
        <v>1085</v>
      </c>
      <c r="D272" t="str">
        <f>"21"</f>
        <v>21</v>
      </c>
      <c r="E272" t="str">
        <f>"C:\TOC3201\Methods\Itamar\acid_sample.met"</f>
        <v>C:\TOC3201\Methods\Itamar\acid_sample.met</v>
      </c>
      <c r="F272" t="str">
        <f>"C:\TOC3201\CalCurves\Itamar\N_cal_25ppm_acid_laurel.2019_08_15_12_20_41.cal"</f>
        <v>C:\TOC3201\CalCurves\Itamar\N_cal_25ppm_acid_laurel.2019_08_15_12_20_41.cal</v>
      </c>
      <c r="G272">
        <v>1</v>
      </c>
      <c r="H272" t="str">
        <f>""</f>
        <v/>
      </c>
      <c r="I272" t="str">
        <f>"8/15/2019 11:43:42 PM"</f>
        <v>8/15/2019 11:43:42 PM</v>
      </c>
      <c r="J272" t="str">
        <f>"1"</f>
        <v>1</v>
      </c>
      <c r="K272" t="str">
        <f>"4"</f>
        <v>4</v>
      </c>
      <c r="L272" t="str">
        <f>"TN"</f>
        <v>TN</v>
      </c>
      <c r="M272" t="str">
        <f>"2.891"</f>
        <v>2.891</v>
      </c>
      <c r="N272" t="str">
        <f>"0.8975"</f>
        <v>0.8975</v>
      </c>
      <c r="O272" t="str">
        <f>"NPOC:3.696mg/L TN:0.7929mg/L"</f>
        <v>NPOC:3.696mg/L TN:0.7929mg/L</v>
      </c>
      <c r="P272">
        <v>1</v>
      </c>
      <c r="Q272" t="str">
        <f>"80"</f>
        <v>80</v>
      </c>
    </row>
    <row r="273" spans="1:17" x14ac:dyDescent="0.2">
      <c r="A273" t="str">
        <f>"Unknown"</f>
        <v>Unknown</v>
      </c>
      <c r="B273" t="str">
        <f>"NPOC/TN"</f>
        <v>NPOC/TN</v>
      </c>
      <c r="C273" t="str">
        <f>"1085"</f>
        <v>1085</v>
      </c>
      <c r="D273" t="str">
        <f>"21"</f>
        <v>21</v>
      </c>
      <c r="E273" t="str">
        <f>"C:\TOC3201\Methods\Itamar\acid_sample.met"</f>
        <v>C:\TOC3201\Methods\Itamar\acid_sample.met</v>
      </c>
      <c r="F273" t="str">
        <f>"C:\TOC3201\CalCurves\Itamar\N_cal_25ppm_acid_laurel.2019_08_15_12_20_41.cal"</f>
        <v>C:\TOC3201\CalCurves\Itamar\N_cal_25ppm_acid_laurel.2019_08_15_12_20_41.cal</v>
      </c>
      <c r="G273">
        <v>1</v>
      </c>
      <c r="H273" t="str">
        <f>""</f>
        <v/>
      </c>
      <c r="I273" t="str">
        <f>"8/15/2019 11:46:36 PM"</f>
        <v>8/15/2019 11:46:36 PM</v>
      </c>
      <c r="J273" t="str">
        <f>"1"</f>
        <v>1</v>
      </c>
      <c r="K273" t="str">
        <f>"5"</f>
        <v>5</v>
      </c>
      <c r="L273" t="str">
        <f>"TN"</f>
        <v>TN</v>
      </c>
      <c r="M273" t="str">
        <f>"2.541"</f>
        <v>2.541</v>
      </c>
      <c r="N273" t="str">
        <f>"0.8083"</f>
        <v>0.8083</v>
      </c>
      <c r="O273" t="str">
        <f>"NPOC:3.696mg/L TN:0.7929mg/L"</f>
        <v>NPOC:3.696mg/L TN:0.7929mg/L</v>
      </c>
      <c r="P273">
        <v>0</v>
      </c>
      <c r="Q273" t="str">
        <f>"80"</f>
        <v>80</v>
      </c>
    </row>
    <row r="274" spans="1:17" x14ac:dyDescent="0.2">
      <c r="A274" t="str">
        <f>"Unknown"</f>
        <v>Unknown</v>
      </c>
      <c r="B274" t="str">
        <f>"NPOC/TN"</f>
        <v>NPOC/TN</v>
      </c>
      <c r="C274" t="str">
        <f>"1087"</f>
        <v>1087</v>
      </c>
      <c r="D274" t="str">
        <f>"22"</f>
        <v>22</v>
      </c>
      <c r="E274" t="str">
        <f>"C:\TOC3201\Methods\Itamar\acid_sample.met"</f>
        <v>C:\TOC3201\Methods\Itamar\acid_sample.met</v>
      </c>
      <c r="F274" t="str">
        <f>"C:\TOC3201\CalCurves\Itamar\C_cal_100ppm_acid_laurel.2019_08_15_10_24_40.cal"</f>
        <v>C:\TOC3201\CalCurves\Itamar\C_cal_100ppm_acid_laurel.2019_08_15_10_24_40.cal</v>
      </c>
      <c r="G274">
        <v>1</v>
      </c>
      <c r="H274" t="str">
        <f>""</f>
        <v/>
      </c>
      <c r="I274" t="str">
        <f>"8/15/2019 11:56:01 PM"</f>
        <v>8/15/2019 11:56:01 PM</v>
      </c>
      <c r="J274" t="str">
        <f>"1"</f>
        <v>1</v>
      </c>
      <c r="K274" t="str">
        <f>"1"</f>
        <v>1</v>
      </c>
      <c r="L274" t="str">
        <f>"NPOC"</f>
        <v>NPOC</v>
      </c>
      <c r="M274" t="str">
        <f>"15.84"</f>
        <v>15.84</v>
      </c>
      <c r="N274" t="str">
        <f>"3.313"</f>
        <v>3.313</v>
      </c>
      <c r="O274" t="str">
        <f>"NPOC:3.292mg/L TN:0.3786mg/L"</f>
        <v>NPOC:3.292mg/L TN:0.3786mg/L</v>
      </c>
      <c r="P274">
        <v>0</v>
      </c>
      <c r="Q274" t="str">
        <f>"80"</f>
        <v>80</v>
      </c>
    </row>
    <row r="275" spans="1:17" x14ac:dyDescent="0.2">
      <c r="A275" t="str">
        <f>"Unknown"</f>
        <v>Unknown</v>
      </c>
      <c r="B275" t="str">
        <f>"NPOC/TN"</f>
        <v>NPOC/TN</v>
      </c>
      <c r="C275" t="str">
        <f>"1087"</f>
        <v>1087</v>
      </c>
      <c r="D275" t="str">
        <f>"22"</f>
        <v>22</v>
      </c>
      <c r="E275" t="str">
        <f>"C:\TOC3201\Methods\Itamar\acid_sample.met"</f>
        <v>C:\TOC3201\Methods\Itamar\acid_sample.met</v>
      </c>
      <c r="F275" t="str">
        <f>"C:\TOC3201\CalCurves\Itamar\C_cal_100ppm_acid_laurel.2019_08_15_10_24_40.cal"</f>
        <v>C:\TOC3201\CalCurves\Itamar\C_cal_100ppm_acid_laurel.2019_08_15_10_24_40.cal</v>
      </c>
      <c r="G275">
        <v>1</v>
      </c>
      <c r="H275" t="str">
        <f>""</f>
        <v/>
      </c>
      <c r="I275" t="str">
        <f>"8/15/2019 11:58:58 PM"</f>
        <v>8/15/2019 11:58:58 PM</v>
      </c>
      <c r="J275" t="str">
        <f>"1"</f>
        <v>1</v>
      </c>
      <c r="K275" t="str">
        <f>"2"</f>
        <v>2</v>
      </c>
      <c r="L275" t="str">
        <f>"NPOC"</f>
        <v>NPOC</v>
      </c>
      <c r="M275" t="str">
        <f>"15.76"</f>
        <v>15.76</v>
      </c>
      <c r="N275" t="str">
        <f>"3.296"</f>
        <v>3.296</v>
      </c>
      <c r="O275" t="str">
        <f>"NPOC:3.292mg/L TN:0.3786mg/L"</f>
        <v>NPOC:3.292mg/L TN:0.3786mg/L</v>
      </c>
      <c r="P275">
        <v>0</v>
      </c>
      <c r="Q275" t="str">
        <f>"80"</f>
        <v>80</v>
      </c>
    </row>
    <row r="276" spans="1:17" x14ac:dyDescent="0.2">
      <c r="A276" t="str">
        <f>"Unknown"</f>
        <v>Unknown</v>
      </c>
      <c r="B276" t="str">
        <f>"NPOC/TN"</f>
        <v>NPOC/TN</v>
      </c>
      <c r="C276" t="str">
        <f>"1087"</f>
        <v>1087</v>
      </c>
      <c r="D276" t="str">
        <f>"22"</f>
        <v>22</v>
      </c>
      <c r="E276" t="str">
        <f>"C:\TOC3201\Methods\Itamar\acid_sample.met"</f>
        <v>C:\TOC3201\Methods\Itamar\acid_sample.met</v>
      </c>
      <c r="F276" t="str">
        <f>"C:\TOC3201\CalCurves\Itamar\C_cal_100ppm_acid_laurel.2019_08_15_10_24_40.cal"</f>
        <v>C:\TOC3201\CalCurves\Itamar\C_cal_100ppm_acid_laurel.2019_08_15_10_24_40.cal</v>
      </c>
      <c r="G276">
        <v>1</v>
      </c>
      <c r="H276" t="str">
        <f>""</f>
        <v/>
      </c>
      <c r="I276" t="str">
        <f>"8/16/2019 12:01:53 AM"</f>
        <v>8/16/2019 12:01:53 AM</v>
      </c>
      <c r="J276" t="str">
        <f>"1"</f>
        <v>1</v>
      </c>
      <c r="K276" t="str">
        <f>"3"</f>
        <v>3</v>
      </c>
      <c r="L276" t="str">
        <f>"NPOC"</f>
        <v>NPOC</v>
      </c>
      <c r="M276" t="str">
        <f>"16.46"</f>
        <v>16.46</v>
      </c>
      <c r="N276" t="str">
        <f>"3.440"</f>
        <v>3.440</v>
      </c>
      <c r="O276" t="str">
        <f>"NPOC:3.292mg/L TN:0.3786mg/L"</f>
        <v>NPOC:3.292mg/L TN:0.3786mg/L</v>
      </c>
      <c r="P276">
        <v>1</v>
      </c>
      <c r="Q276" t="str">
        <f>"80"</f>
        <v>80</v>
      </c>
    </row>
    <row r="277" spans="1:17" x14ac:dyDescent="0.2">
      <c r="A277" t="str">
        <f>"Unknown"</f>
        <v>Unknown</v>
      </c>
      <c r="B277" t="str">
        <f>"NPOC/TN"</f>
        <v>NPOC/TN</v>
      </c>
      <c r="C277" t="str">
        <f>"1087"</f>
        <v>1087</v>
      </c>
      <c r="D277" t="str">
        <f>"22"</f>
        <v>22</v>
      </c>
      <c r="E277" t="str">
        <f>"C:\TOC3201\Methods\Itamar\acid_sample.met"</f>
        <v>C:\TOC3201\Methods\Itamar\acid_sample.met</v>
      </c>
      <c r="F277" t="str">
        <f>"C:\TOC3201\CalCurves\Itamar\C_cal_100ppm_acid_laurel.2019_08_15_10_24_40.cal"</f>
        <v>C:\TOC3201\CalCurves\Itamar\C_cal_100ppm_acid_laurel.2019_08_15_10_24_40.cal</v>
      </c>
      <c r="G277">
        <v>1</v>
      </c>
      <c r="H277" t="str">
        <f>""</f>
        <v/>
      </c>
      <c r="I277" t="str">
        <f>"8/16/2019 12:04:55 AM"</f>
        <v>8/16/2019 12:04:55 AM</v>
      </c>
      <c r="J277" t="str">
        <f>"1"</f>
        <v>1</v>
      </c>
      <c r="K277" t="str">
        <f>"4"</f>
        <v>4</v>
      </c>
      <c r="L277" t="str">
        <f>"NPOC"</f>
        <v>NPOC</v>
      </c>
      <c r="M277" t="str">
        <f>"16.35"</f>
        <v>16.35</v>
      </c>
      <c r="N277" t="str">
        <f>"3.418"</f>
        <v>3.418</v>
      </c>
      <c r="O277" t="str">
        <f>"NPOC:3.292mg/L TN:0.3786mg/L"</f>
        <v>NPOC:3.292mg/L TN:0.3786mg/L</v>
      </c>
      <c r="P277">
        <v>1</v>
      </c>
      <c r="Q277" t="str">
        <f>"80"</f>
        <v>80</v>
      </c>
    </row>
    <row r="278" spans="1:17" x14ac:dyDescent="0.2">
      <c r="A278" t="str">
        <f>"Unknown"</f>
        <v>Unknown</v>
      </c>
      <c r="B278" t="str">
        <f>"NPOC/TN"</f>
        <v>NPOC/TN</v>
      </c>
      <c r="C278" t="str">
        <f>"1087"</f>
        <v>1087</v>
      </c>
      <c r="D278" t="str">
        <f>"22"</f>
        <v>22</v>
      </c>
      <c r="E278" t="str">
        <f>"C:\TOC3201\Methods\Itamar\acid_sample.met"</f>
        <v>C:\TOC3201\Methods\Itamar\acid_sample.met</v>
      </c>
      <c r="F278" t="str">
        <f>"C:\TOC3201\CalCurves\Itamar\C_cal_100ppm_acid_laurel.2019_08_15_10_24_40.cal"</f>
        <v>C:\TOC3201\CalCurves\Itamar\C_cal_100ppm_acid_laurel.2019_08_15_10_24_40.cal</v>
      </c>
      <c r="G278">
        <v>1</v>
      </c>
      <c r="H278" t="str">
        <f>""</f>
        <v/>
      </c>
      <c r="I278" t="str">
        <f>"8/16/2019 12:07:53 AM"</f>
        <v>8/16/2019 12:07:53 AM</v>
      </c>
      <c r="J278" t="str">
        <f>"1"</f>
        <v>1</v>
      </c>
      <c r="K278" t="str">
        <f>"5"</f>
        <v>5</v>
      </c>
      <c r="L278" t="str">
        <f>"NPOC"</f>
        <v>NPOC</v>
      </c>
      <c r="M278" t="str">
        <f>"15.62"</f>
        <v>15.62</v>
      </c>
      <c r="N278" t="str">
        <f>"3.268"</f>
        <v>3.268</v>
      </c>
      <c r="O278" t="str">
        <f>"NPOC:3.292mg/L TN:0.3786mg/L"</f>
        <v>NPOC:3.292mg/L TN:0.3786mg/L</v>
      </c>
      <c r="P278">
        <v>0</v>
      </c>
      <c r="Q278" t="str">
        <f>"80"</f>
        <v>80</v>
      </c>
    </row>
    <row r="279" spans="1:17" x14ac:dyDescent="0.2">
      <c r="A279" t="str">
        <f>"Unknown"</f>
        <v>Unknown</v>
      </c>
      <c r="B279" t="str">
        <f>"NPOC/TN"</f>
        <v>NPOC/TN</v>
      </c>
      <c r="C279" t="str">
        <f>"1087"</f>
        <v>1087</v>
      </c>
      <c r="D279" t="str">
        <f>"22"</f>
        <v>22</v>
      </c>
      <c r="E279" t="str">
        <f>"C:\TOC3201\Methods\Itamar\acid_sample.met"</f>
        <v>C:\TOC3201\Methods\Itamar\acid_sample.met</v>
      </c>
      <c r="F279" t="str">
        <f>"C:\TOC3201\CalCurves\Itamar\N_cal_25ppm_acid_laurel.2019_08_15_12_20_41.cal"</f>
        <v>C:\TOC3201\CalCurves\Itamar\N_cal_25ppm_acid_laurel.2019_08_15_12_20_41.cal</v>
      </c>
      <c r="G279">
        <v>1</v>
      </c>
      <c r="H279" t="str">
        <f>""</f>
        <v/>
      </c>
      <c r="I279" t="str">
        <f>"8/15/2019 11:56:01 PM"</f>
        <v>8/15/2019 11:56:01 PM</v>
      </c>
      <c r="J279" t="str">
        <f>"1"</f>
        <v>1</v>
      </c>
      <c r="K279" t="str">
        <f>"1"</f>
        <v>1</v>
      </c>
      <c r="L279" t="str">
        <f>"TN"</f>
        <v>TN</v>
      </c>
      <c r="M279" t="str">
        <f>"0.9222"</f>
        <v>0.9222</v>
      </c>
      <c r="N279" t="str">
        <f>"0.3959"</f>
        <v>0.3959</v>
      </c>
      <c r="O279" t="str">
        <f>"NPOC:3.292mg/L TN:0.3786mg/L"</f>
        <v>NPOC:3.292mg/L TN:0.3786mg/L</v>
      </c>
      <c r="P279">
        <v>0</v>
      </c>
      <c r="Q279" t="str">
        <f>"80"</f>
        <v>80</v>
      </c>
    </row>
    <row r="280" spans="1:17" x14ac:dyDescent="0.2">
      <c r="A280" t="str">
        <f>"Unknown"</f>
        <v>Unknown</v>
      </c>
      <c r="B280" t="str">
        <f>"NPOC/TN"</f>
        <v>NPOC/TN</v>
      </c>
      <c r="C280" t="str">
        <f>"1087"</f>
        <v>1087</v>
      </c>
      <c r="D280" t="str">
        <f>"22"</f>
        <v>22</v>
      </c>
      <c r="E280" t="str">
        <f>"C:\TOC3201\Methods\Itamar\acid_sample.met"</f>
        <v>C:\TOC3201\Methods\Itamar\acid_sample.met</v>
      </c>
      <c r="F280" t="str">
        <f>"C:\TOC3201\CalCurves\Itamar\N_cal_25ppm_acid_laurel.2019_08_15_12_20_41.cal"</f>
        <v>C:\TOC3201\CalCurves\Itamar\N_cal_25ppm_acid_laurel.2019_08_15_12_20_41.cal</v>
      </c>
      <c r="G280">
        <v>1</v>
      </c>
      <c r="H280" t="str">
        <f>""</f>
        <v/>
      </c>
      <c r="I280" t="str">
        <f>"8/15/2019 11:58:58 PM"</f>
        <v>8/15/2019 11:58:58 PM</v>
      </c>
      <c r="J280" t="str">
        <f>"1"</f>
        <v>1</v>
      </c>
      <c r="K280" t="str">
        <f>"2"</f>
        <v>2</v>
      </c>
      <c r="L280" t="str">
        <f>"TN"</f>
        <v>TN</v>
      </c>
      <c r="M280" t="str">
        <f>"0.9328"</f>
        <v>0.9328</v>
      </c>
      <c r="N280" t="str">
        <f>"0.3986"</f>
        <v>0.3986</v>
      </c>
      <c r="O280" t="str">
        <f>"NPOC:3.292mg/L TN:0.3786mg/L"</f>
        <v>NPOC:3.292mg/L TN:0.3786mg/L</v>
      </c>
      <c r="P280">
        <v>0</v>
      </c>
      <c r="Q280" t="str">
        <f>"80"</f>
        <v>80</v>
      </c>
    </row>
    <row r="281" spans="1:17" x14ac:dyDescent="0.2">
      <c r="A281" t="str">
        <f>"Unknown"</f>
        <v>Unknown</v>
      </c>
      <c r="B281" t="str">
        <f>"NPOC/TN"</f>
        <v>NPOC/TN</v>
      </c>
      <c r="C281" t="str">
        <f>"1087"</f>
        <v>1087</v>
      </c>
      <c r="D281" t="str">
        <f>"22"</f>
        <v>22</v>
      </c>
      <c r="E281" t="str">
        <f>"C:\TOC3201\Methods\Itamar\acid_sample.met"</f>
        <v>C:\TOC3201\Methods\Itamar\acid_sample.met</v>
      </c>
      <c r="F281" t="str">
        <f>"C:\TOC3201\CalCurves\Itamar\N_cal_25ppm_acid_laurel.2019_08_15_12_20_41.cal"</f>
        <v>C:\TOC3201\CalCurves\Itamar\N_cal_25ppm_acid_laurel.2019_08_15_12_20_41.cal</v>
      </c>
      <c r="G281">
        <v>1</v>
      </c>
      <c r="H281" t="str">
        <f>""</f>
        <v/>
      </c>
      <c r="I281" t="str">
        <f>"8/16/2019 12:01:53 AM"</f>
        <v>8/16/2019 12:01:53 AM</v>
      </c>
      <c r="J281" t="str">
        <f>"1"</f>
        <v>1</v>
      </c>
      <c r="K281" t="str">
        <f>"3"</f>
        <v>3</v>
      </c>
      <c r="L281" t="str">
        <f>"TN"</f>
        <v>TN</v>
      </c>
      <c r="M281" t="str">
        <f>"0.6241"</f>
        <v>0.6241</v>
      </c>
      <c r="N281" t="str">
        <f>"0.3199"</f>
        <v>0.3199</v>
      </c>
      <c r="O281" t="str">
        <f>"NPOC:3.292mg/L TN:0.3786mg/L"</f>
        <v>NPOC:3.292mg/L TN:0.3786mg/L</v>
      </c>
      <c r="P281">
        <v>1</v>
      </c>
      <c r="Q281" t="str">
        <f>"80"</f>
        <v>80</v>
      </c>
    </row>
    <row r="282" spans="1:17" x14ac:dyDescent="0.2">
      <c r="A282" t="str">
        <f>"Unknown"</f>
        <v>Unknown</v>
      </c>
      <c r="B282" t="str">
        <f>"NPOC/TN"</f>
        <v>NPOC/TN</v>
      </c>
      <c r="C282" t="str">
        <f>"1087"</f>
        <v>1087</v>
      </c>
      <c r="D282" t="str">
        <f>"22"</f>
        <v>22</v>
      </c>
      <c r="E282" t="str">
        <f>"C:\TOC3201\Methods\Itamar\acid_sample.met"</f>
        <v>C:\TOC3201\Methods\Itamar\acid_sample.met</v>
      </c>
      <c r="F282" t="str">
        <f>"C:\TOC3201\CalCurves\Itamar\N_cal_25ppm_acid_laurel.2019_08_15_12_20_41.cal"</f>
        <v>C:\TOC3201\CalCurves\Itamar\N_cal_25ppm_acid_laurel.2019_08_15_12_20_41.cal</v>
      </c>
      <c r="G282">
        <v>1</v>
      </c>
      <c r="H282" t="str">
        <f>""</f>
        <v/>
      </c>
      <c r="I282" t="str">
        <f>"8/16/2019 12:04:55 AM"</f>
        <v>8/16/2019 12:04:55 AM</v>
      </c>
      <c r="J282" t="str">
        <f>"1"</f>
        <v>1</v>
      </c>
      <c r="K282" t="str">
        <f>"4"</f>
        <v>4</v>
      </c>
      <c r="L282" t="str">
        <f>"TN"</f>
        <v>TN</v>
      </c>
      <c r="M282" t="str">
        <f>"3.080"</f>
        <v>3.080</v>
      </c>
      <c r="N282" t="str">
        <f>"0.9457"</f>
        <v>0.9457</v>
      </c>
      <c r="O282" t="str">
        <f>"NPOC:3.292mg/L TN:0.3786mg/L"</f>
        <v>NPOC:3.292mg/L TN:0.3786mg/L</v>
      </c>
      <c r="P282">
        <v>1</v>
      </c>
      <c r="Q282" t="str">
        <f>"80"</f>
        <v>80</v>
      </c>
    </row>
    <row r="283" spans="1:17" x14ac:dyDescent="0.2">
      <c r="A283" t="str">
        <f>"Unknown"</f>
        <v>Unknown</v>
      </c>
      <c r="B283" t="str">
        <f>"NPOC/TN"</f>
        <v>NPOC/TN</v>
      </c>
      <c r="C283" t="str">
        <f>"1087"</f>
        <v>1087</v>
      </c>
      <c r="D283" t="str">
        <f>"22"</f>
        <v>22</v>
      </c>
      <c r="E283" t="str">
        <f>"C:\TOC3201\Methods\Itamar\acid_sample.met"</f>
        <v>C:\TOC3201\Methods\Itamar\acid_sample.met</v>
      </c>
      <c r="F283" t="str">
        <f>"C:\TOC3201\CalCurves\Itamar\N_cal_25ppm_acid_laurel.2019_08_15_12_20_41.cal"</f>
        <v>C:\TOC3201\CalCurves\Itamar\N_cal_25ppm_acid_laurel.2019_08_15_12_20_41.cal</v>
      </c>
      <c r="G283">
        <v>1</v>
      </c>
      <c r="H283" t="str">
        <f>""</f>
        <v/>
      </c>
      <c r="I283" t="str">
        <f>"8/16/2019 12:07:53 AM"</f>
        <v>8/16/2019 12:07:53 AM</v>
      </c>
      <c r="J283" t="str">
        <f>"1"</f>
        <v>1</v>
      </c>
      <c r="K283" t="str">
        <f>"5"</f>
        <v>5</v>
      </c>
      <c r="L283" t="str">
        <f>"TN"</f>
        <v>TN</v>
      </c>
      <c r="M283" t="str">
        <f>"0.7083"</f>
        <v>0.7083</v>
      </c>
      <c r="N283" t="str">
        <f>"0.3414"</f>
        <v>0.3414</v>
      </c>
      <c r="O283" t="str">
        <f>"NPOC:3.292mg/L TN:0.3786mg/L"</f>
        <v>NPOC:3.292mg/L TN:0.3786mg/L</v>
      </c>
      <c r="P283">
        <v>0</v>
      </c>
      <c r="Q283" t="str">
        <f>"80"</f>
        <v>80</v>
      </c>
    </row>
    <row r="284" spans="1:17" x14ac:dyDescent="0.2">
      <c r="A284" t="str">
        <f>"Unknown"</f>
        <v>Unknown</v>
      </c>
      <c r="B284" t="str">
        <f>"NPOC/TN"</f>
        <v>NPOC/TN</v>
      </c>
      <c r="C284" t="str">
        <f>"1089"</f>
        <v>1089</v>
      </c>
      <c r="D284" t="str">
        <f>"23"</f>
        <v>23</v>
      </c>
      <c r="E284" t="str">
        <f>"C:\TOC3201\Methods\Itamar\acid_sample.met"</f>
        <v>C:\TOC3201\Methods\Itamar\acid_sample.met</v>
      </c>
      <c r="F284" t="str">
        <f>"C:\TOC3201\CalCurves\Itamar\C_cal_100ppm_acid_laurel.2019_08_15_10_24_40.cal"</f>
        <v>C:\TOC3201\CalCurves\Itamar\C_cal_100ppm_acid_laurel.2019_08_15_10_24_40.cal</v>
      </c>
      <c r="G284">
        <v>1</v>
      </c>
      <c r="H284" t="str">
        <f>""</f>
        <v/>
      </c>
      <c r="I284" t="str">
        <f>"8/16/2019 12:17:29 AM"</f>
        <v>8/16/2019 12:17:29 AM</v>
      </c>
      <c r="J284" t="str">
        <f>"1"</f>
        <v>1</v>
      </c>
      <c r="K284" t="str">
        <f>"1"</f>
        <v>1</v>
      </c>
      <c r="L284" t="str">
        <f>"NPOC"</f>
        <v>NPOC</v>
      </c>
      <c r="M284" t="str">
        <f>"17.56"</f>
        <v>17.56</v>
      </c>
      <c r="N284" t="str">
        <f>"3.666"</f>
        <v>3.666</v>
      </c>
      <c r="O284" t="str">
        <f>"NPOC:3.693mg/L TN:0.3888mg/L"</f>
        <v>NPOC:3.693mg/L TN:0.3888mg/L</v>
      </c>
      <c r="P284">
        <v>0</v>
      </c>
      <c r="Q284" t="str">
        <f>"80"</f>
        <v>80</v>
      </c>
    </row>
    <row r="285" spans="1:17" x14ac:dyDescent="0.2">
      <c r="A285" t="str">
        <f>"Unknown"</f>
        <v>Unknown</v>
      </c>
      <c r="B285" t="str">
        <f>"NPOC/TN"</f>
        <v>NPOC/TN</v>
      </c>
      <c r="C285" t="str">
        <f>"1089"</f>
        <v>1089</v>
      </c>
      <c r="D285" t="str">
        <f>"23"</f>
        <v>23</v>
      </c>
      <c r="E285" t="str">
        <f>"C:\TOC3201\Methods\Itamar\acid_sample.met"</f>
        <v>C:\TOC3201\Methods\Itamar\acid_sample.met</v>
      </c>
      <c r="F285" t="str">
        <f>"C:\TOC3201\CalCurves\Itamar\C_cal_100ppm_acid_laurel.2019_08_15_10_24_40.cal"</f>
        <v>C:\TOC3201\CalCurves\Itamar\C_cal_100ppm_acid_laurel.2019_08_15_10_24_40.cal</v>
      </c>
      <c r="G285">
        <v>1</v>
      </c>
      <c r="H285" t="str">
        <f>""</f>
        <v/>
      </c>
      <c r="I285" t="str">
        <f>"8/16/2019 12:20:34 AM"</f>
        <v>8/16/2019 12:20:34 AM</v>
      </c>
      <c r="J285" t="str">
        <f>"1"</f>
        <v>1</v>
      </c>
      <c r="K285" t="str">
        <f>"2"</f>
        <v>2</v>
      </c>
      <c r="L285" t="str">
        <f>"NPOC"</f>
        <v>NPOC</v>
      </c>
      <c r="M285" t="str">
        <f>"17.02"</f>
        <v>17.02</v>
      </c>
      <c r="N285" t="str">
        <f>"3.555"</f>
        <v>3.555</v>
      </c>
      <c r="O285" t="str">
        <f>"NPOC:3.693mg/L TN:0.3888mg/L"</f>
        <v>NPOC:3.693mg/L TN:0.3888mg/L</v>
      </c>
      <c r="P285">
        <v>1</v>
      </c>
      <c r="Q285" t="str">
        <f>"80"</f>
        <v>80</v>
      </c>
    </row>
    <row r="286" spans="1:17" x14ac:dyDescent="0.2">
      <c r="A286" t="str">
        <f>"Unknown"</f>
        <v>Unknown</v>
      </c>
      <c r="B286" t="str">
        <f>"NPOC/TN"</f>
        <v>NPOC/TN</v>
      </c>
      <c r="C286" t="str">
        <f>"1089"</f>
        <v>1089</v>
      </c>
      <c r="D286" t="str">
        <f>"23"</f>
        <v>23</v>
      </c>
      <c r="E286" t="str">
        <f>"C:\TOC3201\Methods\Itamar\acid_sample.met"</f>
        <v>C:\TOC3201\Methods\Itamar\acid_sample.met</v>
      </c>
      <c r="F286" t="str">
        <f>"C:\TOC3201\CalCurves\Itamar\C_cal_100ppm_acid_laurel.2019_08_15_10_24_40.cal"</f>
        <v>C:\TOC3201\CalCurves\Itamar\C_cal_100ppm_acid_laurel.2019_08_15_10_24_40.cal</v>
      </c>
      <c r="G286">
        <v>1</v>
      </c>
      <c r="H286" t="str">
        <f>""</f>
        <v/>
      </c>
      <c r="I286" t="str">
        <f>"8/16/2019 12:23:41 AM"</f>
        <v>8/16/2019 12:23:41 AM</v>
      </c>
      <c r="J286" t="str">
        <f>"1"</f>
        <v>1</v>
      </c>
      <c r="K286" t="str">
        <f>"3"</f>
        <v>3</v>
      </c>
      <c r="L286" t="str">
        <f>"NPOC"</f>
        <v>NPOC</v>
      </c>
      <c r="M286" t="str">
        <f>"18.02"</f>
        <v>18.02</v>
      </c>
      <c r="N286" t="str">
        <f>"3.760"</f>
        <v>3.760</v>
      </c>
      <c r="O286" t="str">
        <f>"NPOC:3.693mg/L TN:0.3888mg/L"</f>
        <v>NPOC:3.693mg/L TN:0.3888mg/L</v>
      </c>
      <c r="P286">
        <v>0</v>
      </c>
      <c r="Q286" t="str">
        <f>"80"</f>
        <v>80</v>
      </c>
    </row>
    <row r="287" spans="1:17" x14ac:dyDescent="0.2">
      <c r="A287" t="str">
        <f>"Unknown"</f>
        <v>Unknown</v>
      </c>
      <c r="B287" t="str">
        <f>"NPOC/TN"</f>
        <v>NPOC/TN</v>
      </c>
      <c r="C287" t="str">
        <f>"1089"</f>
        <v>1089</v>
      </c>
      <c r="D287" t="str">
        <f>"23"</f>
        <v>23</v>
      </c>
      <c r="E287" t="str">
        <f>"C:\TOC3201\Methods\Itamar\acid_sample.met"</f>
        <v>C:\TOC3201\Methods\Itamar\acid_sample.met</v>
      </c>
      <c r="F287" t="str">
        <f>"C:\TOC3201\CalCurves\Itamar\C_cal_100ppm_acid_laurel.2019_08_15_10_24_40.cal"</f>
        <v>C:\TOC3201\CalCurves\Itamar\C_cal_100ppm_acid_laurel.2019_08_15_10_24_40.cal</v>
      </c>
      <c r="G287">
        <v>1</v>
      </c>
      <c r="H287" t="str">
        <f>""</f>
        <v/>
      </c>
      <c r="I287" t="str">
        <f>"8/16/2019 12:26:35 AM"</f>
        <v>8/16/2019 12:26:35 AM</v>
      </c>
      <c r="J287" t="str">
        <f>"1"</f>
        <v>1</v>
      </c>
      <c r="K287" t="str">
        <f>"4"</f>
        <v>4</v>
      </c>
      <c r="L287" t="str">
        <f>"NPOC"</f>
        <v>NPOC</v>
      </c>
      <c r="M287" t="str">
        <f>"17.50"</f>
        <v>17.50</v>
      </c>
      <c r="N287" t="str">
        <f>"3.654"</f>
        <v>3.654</v>
      </c>
      <c r="O287" t="str">
        <f>"NPOC:3.693mg/L TN:0.3888mg/L"</f>
        <v>NPOC:3.693mg/L TN:0.3888mg/L</v>
      </c>
      <c r="P287">
        <v>0</v>
      </c>
      <c r="Q287" t="str">
        <f>"80"</f>
        <v>80</v>
      </c>
    </row>
    <row r="288" spans="1:17" x14ac:dyDescent="0.2">
      <c r="A288" t="str">
        <f>"Unknown"</f>
        <v>Unknown</v>
      </c>
      <c r="B288" t="str">
        <f>"NPOC/TN"</f>
        <v>NPOC/TN</v>
      </c>
      <c r="C288" t="str">
        <f>"1089"</f>
        <v>1089</v>
      </c>
      <c r="D288" t="str">
        <f>"23"</f>
        <v>23</v>
      </c>
      <c r="E288" t="str">
        <f>"C:\TOC3201\Methods\Itamar\acid_sample.met"</f>
        <v>C:\TOC3201\Methods\Itamar\acid_sample.met</v>
      </c>
      <c r="F288" t="str">
        <f>"C:\TOC3201\CalCurves\Itamar\N_cal_25ppm_acid_laurel.2019_08_15_12_20_41.cal"</f>
        <v>C:\TOC3201\CalCurves\Itamar\N_cal_25ppm_acid_laurel.2019_08_15_12_20_41.cal</v>
      </c>
      <c r="G288">
        <v>1</v>
      </c>
      <c r="H288" t="str">
        <f>""</f>
        <v/>
      </c>
      <c r="I288" t="str">
        <f>"8/16/2019 12:17:29 AM"</f>
        <v>8/16/2019 12:17:29 AM</v>
      </c>
      <c r="J288" t="str">
        <f>"1"</f>
        <v>1</v>
      </c>
      <c r="K288" t="str">
        <f>"1"</f>
        <v>1</v>
      </c>
      <c r="L288" t="str">
        <f>"TN"</f>
        <v>TN</v>
      </c>
      <c r="M288" t="str">
        <f>"0.5233"</f>
        <v>0.5233</v>
      </c>
      <c r="N288" t="str">
        <f>"0.2942"</f>
        <v>0.2942</v>
      </c>
      <c r="O288" t="str">
        <f>"NPOC:3.693mg/L TN:0.3888mg/L"</f>
        <v>NPOC:3.693mg/L TN:0.3888mg/L</v>
      </c>
      <c r="P288">
        <v>1</v>
      </c>
      <c r="Q288" t="str">
        <f>"80"</f>
        <v>80</v>
      </c>
    </row>
    <row r="289" spans="1:17" x14ac:dyDescent="0.2">
      <c r="A289" t="str">
        <f>"Unknown"</f>
        <v>Unknown</v>
      </c>
      <c r="B289" t="str">
        <f>"NPOC/TN"</f>
        <v>NPOC/TN</v>
      </c>
      <c r="C289" t="str">
        <f>"1089"</f>
        <v>1089</v>
      </c>
      <c r="D289" t="str">
        <f>"23"</f>
        <v>23</v>
      </c>
      <c r="E289" t="str">
        <f>"C:\TOC3201\Methods\Itamar\acid_sample.met"</f>
        <v>C:\TOC3201\Methods\Itamar\acid_sample.met</v>
      </c>
      <c r="F289" t="str">
        <f>"C:\TOC3201\CalCurves\Itamar\N_cal_25ppm_acid_laurel.2019_08_15_12_20_41.cal"</f>
        <v>C:\TOC3201\CalCurves\Itamar\N_cal_25ppm_acid_laurel.2019_08_15_12_20_41.cal</v>
      </c>
      <c r="G289">
        <v>1</v>
      </c>
      <c r="H289" t="str">
        <f>""</f>
        <v/>
      </c>
      <c r="I289" t="str">
        <f>"8/16/2019 12:20:34 AM"</f>
        <v>8/16/2019 12:20:34 AM</v>
      </c>
      <c r="J289" t="str">
        <f>"1"</f>
        <v>1</v>
      </c>
      <c r="K289" t="str">
        <f>"2"</f>
        <v>2</v>
      </c>
      <c r="L289" t="str">
        <f>"TN"</f>
        <v>TN</v>
      </c>
      <c r="M289" t="str">
        <f>"0.9080"</f>
        <v>0.9080</v>
      </c>
      <c r="N289" t="str">
        <f>"0.3923"</f>
        <v>0.3923</v>
      </c>
      <c r="O289" t="str">
        <f>"NPOC:3.693mg/L TN:0.3888mg/L"</f>
        <v>NPOC:3.693mg/L TN:0.3888mg/L</v>
      </c>
      <c r="P289">
        <v>0</v>
      </c>
      <c r="Q289" t="str">
        <f>"80"</f>
        <v>80</v>
      </c>
    </row>
    <row r="290" spans="1:17" x14ac:dyDescent="0.2">
      <c r="A290" t="str">
        <f>"Unknown"</f>
        <v>Unknown</v>
      </c>
      <c r="B290" t="str">
        <f>"NPOC/TN"</f>
        <v>NPOC/TN</v>
      </c>
      <c r="C290" t="str">
        <f>"1089"</f>
        <v>1089</v>
      </c>
      <c r="D290" t="str">
        <f>"23"</f>
        <v>23</v>
      </c>
      <c r="E290" t="str">
        <f>"C:\TOC3201\Methods\Itamar\acid_sample.met"</f>
        <v>C:\TOC3201\Methods\Itamar\acid_sample.met</v>
      </c>
      <c r="F290" t="str">
        <f>"C:\TOC3201\CalCurves\Itamar\N_cal_25ppm_acid_laurel.2019_08_15_12_20_41.cal"</f>
        <v>C:\TOC3201\CalCurves\Itamar\N_cal_25ppm_acid_laurel.2019_08_15_12_20_41.cal</v>
      </c>
      <c r="G290">
        <v>1</v>
      </c>
      <c r="H290" t="str">
        <f>""</f>
        <v/>
      </c>
      <c r="I290" t="str">
        <f>"8/16/2019 12:23:41 AM"</f>
        <v>8/16/2019 12:23:41 AM</v>
      </c>
      <c r="J290" t="str">
        <f>"1"</f>
        <v>1</v>
      </c>
      <c r="K290" t="str">
        <f>"3"</f>
        <v>3</v>
      </c>
      <c r="L290" t="str">
        <f>"TN"</f>
        <v>TN</v>
      </c>
      <c r="M290" t="str">
        <f>"0.9142"</f>
        <v>0.9142</v>
      </c>
      <c r="N290" t="str">
        <f>"0.3938"</f>
        <v>0.3938</v>
      </c>
      <c r="O290" t="str">
        <f>"NPOC:3.693mg/L TN:0.3888mg/L"</f>
        <v>NPOC:3.693mg/L TN:0.3888mg/L</v>
      </c>
      <c r="P290">
        <v>0</v>
      </c>
      <c r="Q290" t="str">
        <f>"80"</f>
        <v>80</v>
      </c>
    </row>
    <row r="291" spans="1:17" x14ac:dyDescent="0.2">
      <c r="A291" t="str">
        <f>"Unknown"</f>
        <v>Unknown</v>
      </c>
      <c r="B291" t="str">
        <f>"NPOC/TN"</f>
        <v>NPOC/TN</v>
      </c>
      <c r="C291" t="str">
        <f>"1089"</f>
        <v>1089</v>
      </c>
      <c r="D291" t="str">
        <f>"23"</f>
        <v>23</v>
      </c>
      <c r="E291" t="str">
        <f>"C:\TOC3201\Methods\Itamar\acid_sample.met"</f>
        <v>C:\TOC3201\Methods\Itamar\acid_sample.met</v>
      </c>
      <c r="F291" t="str">
        <f>"C:\TOC3201\CalCurves\Itamar\N_cal_25ppm_acid_laurel.2019_08_15_12_20_41.cal"</f>
        <v>C:\TOC3201\CalCurves\Itamar\N_cal_25ppm_acid_laurel.2019_08_15_12_20_41.cal</v>
      </c>
      <c r="G291">
        <v>1</v>
      </c>
      <c r="H291" t="str">
        <f>""</f>
        <v/>
      </c>
      <c r="I291" t="str">
        <f>"8/16/2019 12:26:35 AM"</f>
        <v>8/16/2019 12:26:35 AM</v>
      </c>
      <c r="J291" t="str">
        <f>"1"</f>
        <v>1</v>
      </c>
      <c r="K291" t="str">
        <f>"4"</f>
        <v>4</v>
      </c>
      <c r="L291" t="str">
        <f>"TN"</f>
        <v>TN</v>
      </c>
      <c r="M291" t="str">
        <f>"0.8609"</f>
        <v>0.8609</v>
      </c>
      <c r="N291" t="str">
        <f>"0.3803"</f>
        <v>0.3803</v>
      </c>
      <c r="O291" t="str">
        <f>"NPOC:3.693mg/L TN:0.3888mg/L"</f>
        <v>NPOC:3.693mg/L TN:0.3888mg/L</v>
      </c>
      <c r="P291">
        <v>0</v>
      </c>
      <c r="Q291" t="str">
        <f>"80"</f>
        <v>80</v>
      </c>
    </row>
    <row r="292" spans="1:17" x14ac:dyDescent="0.2">
      <c r="A292" t="str">
        <f>"Unknown"</f>
        <v>Unknown</v>
      </c>
      <c r="B292" t="str">
        <f>"NPOC/TN"</f>
        <v>NPOC/TN</v>
      </c>
      <c r="C292" t="str">
        <f>"1091"</f>
        <v>1091</v>
      </c>
      <c r="D292" t="str">
        <f>"24"</f>
        <v>24</v>
      </c>
      <c r="E292" t="str">
        <f>"C:\TOC3201\Methods\Itamar\acid_sample.met"</f>
        <v>C:\TOC3201\Methods\Itamar\acid_sample.met</v>
      </c>
      <c r="F292" t="str">
        <f>"C:\TOC3201\CalCurves\Itamar\C_cal_100ppm_acid_laurel.2019_08_15_10_24_40.cal"</f>
        <v>C:\TOC3201\CalCurves\Itamar\C_cal_100ppm_acid_laurel.2019_08_15_10_24_40.cal</v>
      </c>
      <c r="G292">
        <v>1</v>
      </c>
      <c r="H292" t="str">
        <f>""</f>
        <v/>
      </c>
      <c r="I292" t="str">
        <f>"8/16/2019 12:36:07 AM"</f>
        <v>8/16/2019 12:36:07 AM</v>
      </c>
      <c r="J292" t="str">
        <f>"1"</f>
        <v>1</v>
      </c>
      <c r="K292" t="str">
        <f>"1"</f>
        <v>1</v>
      </c>
      <c r="L292" t="str">
        <f>"NPOC"</f>
        <v>NPOC</v>
      </c>
      <c r="M292" t="str">
        <f>"17.31"</f>
        <v>17.31</v>
      </c>
      <c r="N292" t="str">
        <f>"3.615"</f>
        <v>3.615</v>
      </c>
      <c r="O292" t="str">
        <f>"NPOC:3.620mg/L TN:0.3761mg/L"</f>
        <v>NPOC:3.620mg/L TN:0.3761mg/L</v>
      </c>
      <c r="P292">
        <v>0</v>
      </c>
      <c r="Q292" t="str">
        <f>"80"</f>
        <v>80</v>
      </c>
    </row>
    <row r="293" spans="1:17" x14ac:dyDescent="0.2">
      <c r="A293" t="str">
        <f>"Unknown"</f>
        <v>Unknown</v>
      </c>
      <c r="B293" t="str">
        <f>"NPOC/TN"</f>
        <v>NPOC/TN</v>
      </c>
      <c r="C293" t="str">
        <f>"1091"</f>
        <v>1091</v>
      </c>
      <c r="D293" t="str">
        <f>"24"</f>
        <v>24</v>
      </c>
      <c r="E293" t="str">
        <f>"C:\TOC3201\Methods\Itamar\acid_sample.met"</f>
        <v>C:\TOC3201\Methods\Itamar\acid_sample.met</v>
      </c>
      <c r="F293" t="str">
        <f>"C:\TOC3201\CalCurves\Itamar\C_cal_100ppm_acid_laurel.2019_08_15_10_24_40.cal"</f>
        <v>C:\TOC3201\CalCurves\Itamar\C_cal_100ppm_acid_laurel.2019_08_15_10_24_40.cal</v>
      </c>
      <c r="G293">
        <v>1</v>
      </c>
      <c r="H293" t="str">
        <f>""</f>
        <v/>
      </c>
      <c r="I293" t="str">
        <f>"8/16/2019 12:39:14 AM"</f>
        <v>8/16/2019 12:39:14 AM</v>
      </c>
      <c r="J293" t="str">
        <f>"1"</f>
        <v>1</v>
      </c>
      <c r="K293" t="str">
        <f>"2"</f>
        <v>2</v>
      </c>
      <c r="L293" t="str">
        <f>"NPOC"</f>
        <v>NPOC</v>
      </c>
      <c r="M293" t="str">
        <f>"17.42"</f>
        <v>17.42</v>
      </c>
      <c r="N293" t="str">
        <f>"3.637"</f>
        <v>3.637</v>
      </c>
      <c r="O293" t="str">
        <f>"NPOC:3.620mg/L TN:0.3761mg/L"</f>
        <v>NPOC:3.620mg/L TN:0.3761mg/L</v>
      </c>
      <c r="P293">
        <v>0</v>
      </c>
      <c r="Q293" t="str">
        <f>"80"</f>
        <v>80</v>
      </c>
    </row>
    <row r="294" spans="1:17" x14ac:dyDescent="0.2">
      <c r="A294" t="str">
        <f>"Unknown"</f>
        <v>Unknown</v>
      </c>
      <c r="B294" t="str">
        <f>"NPOC/TN"</f>
        <v>NPOC/TN</v>
      </c>
      <c r="C294" t="str">
        <f>"1091"</f>
        <v>1091</v>
      </c>
      <c r="D294" t="str">
        <f>"24"</f>
        <v>24</v>
      </c>
      <c r="E294" t="str">
        <f>"C:\TOC3201\Methods\Itamar\acid_sample.met"</f>
        <v>C:\TOC3201\Methods\Itamar\acid_sample.met</v>
      </c>
      <c r="F294" t="str">
        <f>"C:\TOC3201\CalCurves\Itamar\C_cal_100ppm_acid_laurel.2019_08_15_10_24_40.cal"</f>
        <v>C:\TOC3201\CalCurves\Itamar\C_cal_100ppm_acid_laurel.2019_08_15_10_24_40.cal</v>
      </c>
      <c r="G294">
        <v>1</v>
      </c>
      <c r="H294" t="str">
        <f>""</f>
        <v/>
      </c>
      <c r="I294" t="str">
        <f>"8/16/2019 12:42:19 AM"</f>
        <v>8/16/2019 12:42:19 AM</v>
      </c>
      <c r="J294" t="str">
        <f>"1"</f>
        <v>1</v>
      </c>
      <c r="K294" t="str">
        <f>"3"</f>
        <v>3</v>
      </c>
      <c r="L294" t="str">
        <f>"NPOC"</f>
        <v>NPOC</v>
      </c>
      <c r="M294" t="str">
        <f>"18.27"</f>
        <v>18.27</v>
      </c>
      <c r="N294" t="str">
        <f>"3.812"</f>
        <v>3.812</v>
      </c>
      <c r="O294" t="str">
        <f>"NPOC:3.620mg/L TN:0.3761mg/L"</f>
        <v>NPOC:3.620mg/L TN:0.3761mg/L</v>
      </c>
      <c r="P294">
        <v>1</v>
      </c>
      <c r="Q294" t="str">
        <f>"80"</f>
        <v>80</v>
      </c>
    </row>
    <row r="295" spans="1:17" x14ac:dyDescent="0.2">
      <c r="A295" t="str">
        <f>"Unknown"</f>
        <v>Unknown</v>
      </c>
      <c r="B295" t="str">
        <f>"NPOC/TN"</f>
        <v>NPOC/TN</v>
      </c>
      <c r="C295" t="str">
        <f>"1091"</f>
        <v>1091</v>
      </c>
      <c r="D295" t="str">
        <f>"24"</f>
        <v>24</v>
      </c>
      <c r="E295" t="str">
        <f>"C:\TOC3201\Methods\Itamar\acid_sample.met"</f>
        <v>C:\TOC3201\Methods\Itamar\acid_sample.met</v>
      </c>
      <c r="F295" t="str">
        <f>"C:\TOC3201\CalCurves\Itamar\C_cal_100ppm_acid_laurel.2019_08_15_10_24_40.cal"</f>
        <v>C:\TOC3201\CalCurves\Itamar\C_cal_100ppm_acid_laurel.2019_08_15_10_24_40.cal</v>
      </c>
      <c r="G295">
        <v>1</v>
      </c>
      <c r="H295" t="str">
        <f>""</f>
        <v/>
      </c>
      <c r="I295" t="str">
        <f>"8/16/2019 12:45:20 AM"</f>
        <v>8/16/2019 12:45:20 AM</v>
      </c>
      <c r="J295" t="str">
        <f>"1"</f>
        <v>1</v>
      </c>
      <c r="K295" t="str">
        <f>"4"</f>
        <v>4</v>
      </c>
      <c r="L295" t="str">
        <f>"NPOC"</f>
        <v>NPOC</v>
      </c>
      <c r="M295" t="str">
        <f>"18.17"</f>
        <v>18.17</v>
      </c>
      <c r="N295" t="str">
        <f>"3.791"</f>
        <v>3.791</v>
      </c>
      <c r="O295" t="str">
        <f>"NPOC:3.620mg/L TN:0.3761mg/L"</f>
        <v>NPOC:3.620mg/L TN:0.3761mg/L</v>
      </c>
      <c r="P295">
        <v>1</v>
      </c>
      <c r="Q295" t="str">
        <f>"80"</f>
        <v>80</v>
      </c>
    </row>
    <row r="296" spans="1:17" x14ac:dyDescent="0.2">
      <c r="A296" t="str">
        <f>"Unknown"</f>
        <v>Unknown</v>
      </c>
      <c r="B296" t="str">
        <f>"NPOC/TN"</f>
        <v>NPOC/TN</v>
      </c>
      <c r="C296" t="str">
        <f>"1091"</f>
        <v>1091</v>
      </c>
      <c r="D296" t="str">
        <f>"24"</f>
        <v>24</v>
      </c>
      <c r="E296" t="str">
        <f>"C:\TOC3201\Methods\Itamar\acid_sample.met"</f>
        <v>C:\TOC3201\Methods\Itamar\acid_sample.met</v>
      </c>
      <c r="F296" t="str">
        <f>"C:\TOC3201\CalCurves\Itamar\C_cal_100ppm_acid_laurel.2019_08_15_10_24_40.cal"</f>
        <v>C:\TOC3201\CalCurves\Itamar\C_cal_100ppm_acid_laurel.2019_08_15_10_24_40.cal</v>
      </c>
      <c r="G296">
        <v>1</v>
      </c>
      <c r="H296" t="str">
        <f>""</f>
        <v/>
      </c>
      <c r="I296" t="str">
        <f>"8/16/2019 12:48:20 AM"</f>
        <v>8/16/2019 12:48:20 AM</v>
      </c>
      <c r="J296" t="str">
        <f>"1"</f>
        <v>1</v>
      </c>
      <c r="K296" t="str">
        <f>"5"</f>
        <v>5</v>
      </c>
      <c r="L296" t="str">
        <f>"NPOC"</f>
        <v>NPOC</v>
      </c>
      <c r="M296" t="str">
        <f>"17.28"</f>
        <v>17.28</v>
      </c>
      <c r="N296" t="str">
        <f>"3.608"</f>
        <v>3.608</v>
      </c>
      <c r="O296" t="str">
        <f>"NPOC:3.620mg/L TN:0.3761mg/L"</f>
        <v>NPOC:3.620mg/L TN:0.3761mg/L</v>
      </c>
      <c r="P296">
        <v>0</v>
      </c>
      <c r="Q296" t="str">
        <f>"80"</f>
        <v>80</v>
      </c>
    </row>
    <row r="297" spans="1:17" x14ac:dyDescent="0.2">
      <c r="A297" t="str">
        <f>"Unknown"</f>
        <v>Unknown</v>
      </c>
      <c r="B297" t="str">
        <f>"NPOC/TN"</f>
        <v>NPOC/TN</v>
      </c>
      <c r="C297" t="str">
        <f>"1091"</f>
        <v>1091</v>
      </c>
      <c r="D297" t="str">
        <f>"24"</f>
        <v>24</v>
      </c>
      <c r="E297" t="str">
        <f>"C:\TOC3201\Methods\Itamar\acid_sample.met"</f>
        <v>C:\TOC3201\Methods\Itamar\acid_sample.met</v>
      </c>
      <c r="F297" t="str">
        <f>"C:\TOC3201\CalCurves\Itamar\N_cal_25ppm_acid_laurel.2019_08_15_12_20_41.cal"</f>
        <v>C:\TOC3201\CalCurves\Itamar\N_cal_25ppm_acid_laurel.2019_08_15_12_20_41.cal</v>
      </c>
      <c r="G297">
        <v>1</v>
      </c>
      <c r="H297" t="str">
        <f>""</f>
        <v/>
      </c>
      <c r="I297" t="str">
        <f>"8/16/2019 12:36:07 AM"</f>
        <v>8/16/2019 12:36:07 AM</v>
      </c>
      <c r="J297" t="str">
        <f>"1"</f>
        <v>1</v>
      </c>
      <c r="K297" t="str">
        <f>"1"</f>
        <v>1</v>
      </c>
      <c r="L297" t="str">
        <f>"TN"</f>
        <v>TN</v>
      </c>
      <c r="M297" t="str">
        <f>"1.325"</f>
        <v>1.325</v>
      </c>
      <c r="N297" t="str">
        <f>"0.4985"</f>
        <v>0.4985</v>
      </c>
      <c r="O297" t="str">
        <f>"NPOC:3.620mg/L TN:0.3761mg/L"</f>
        <v>NPOC:3.620mg/L TN:0.3761mg/L</v>
      </c>
      <c r="P297">
        <v>1</v>
      </c>
      <c r="Q297" t="str">
        <f>"80"</f>
        <v>80</v>
      </c>
    </row>
    <row r="298" spans="1:17" x14ac:dyDescent="0.2">
      <c r="A298" t="str">
        <f>"Unknown"</f>
        <v>Unknown</v>
      </c>
      <c r="B298" t="str">
        <f>"NPOC/TN"</f>
        <v>NPOC/TN</v>
      </c>
      <c r="C298" t="str">
        <f>"1091"</f>
        <v>1091</v>
      </c>
      <c r="D298" t="str">
        <f>"24"</f>
        <v>24</v>
      </c>
      <c r="E298" t="str">
        <f>"C:\TOC3201\Methods\Itamar\acid_sample.met"</f>
        <v>C:\TOC3201\Methods\Itamar\acid_sample.met</v>
      </c>
      <c r="F298" t="str">
        <f>"C:\TOC3201\CalCurves\Itamar\N_cal_25ppm_acid_laurel.2019_08_15_12_20_41.cal"</f>
        <v>C:\TOC3201\CalCurves\Itamar\N_cal_25ppm_acid_laurel.2019_08_15_12_20_41.cal</v>
      </c>
      <c r="G298">
        <v>1</v>
      </c>
      <c r="H298" t="str">
        <f>""</f>
        <v/>
      </c>
      <c r="I298" t="str">
        <f>"8/16/2019 12:39:14 AM"</f>
        <v>8/16/2019 12:39:14 AM</v>
      </c>
      <c r="J298" t="str">
        <f>"1"</f>
        <v>1</v>
      </c>
      <c r="K298" t="str">
        <f>"2"</f>
        <v>2</v>
      </c>
      <c r="L298" t="str">
        <f>"TN"</f>
        <v>TN</v>
      </c>
      <c r="M298" t="str">
        <f>"0.8858"</f>
        <v>0.8858</v>
      </c>
      <c r="N298" t="str">
        <f>"0.3866"</f>
        <v>0.3866</v>
      </c>
      <c r="O298" t="str">
        <f>"NPOC:3.620mg/L TN:0.3761mg/L"</f>
        <v>NPOC:3.620mg/L TN:0.3761mg/L</v>
      </c>
      <c r="P298">
        <v>0</v>
      </c>
      <c r="Q298" t="str">
        <f>"80"</f>
        <v>80</v>
      </c>
    </row>
    <row r="299" spans="1:17" x14ac:dyDescent="0.2">
      <c r="A299" t="str">
        <f>"Unknown"</f>
        <v>Unknown</v>
      </c>
      <c r="B299" t="str">
        <f>"NPOC/TN"</f>
        <v>NPOC/TN</v>
      </c>
      <c r="C299" t="str">
        <f>"1091"</f>
        <v>1091</v>
      </c>
      <c r="D299" t="str">
        <f>"24"</f>
        <v>24</v>
      </c>
      <c r="E299" t="str">
        <f>"C:\TOC3201\Methods\Itamar\acid_sample.met"</f>
        <v>C:\TOC3201\Methods\Itamar\acid_sample.met</v>
      </c>
      <c r="F299" t="str">
        <f>"C:\TOC3201\CalCurves\Itamar\N_cal_25ppm_acid_laurel.2019_08_15_12_20_41.cal"</f>
        <v>C:\TOC3201\CalCurves\Itamar\N_cal_25ppm_acid_laurel.2019_08_15_12_20_41.cal</v>
      </c>
      <c r="G299">
        <v>1</v>
      </c>
      <c r="H299" t="str">
        <f>""</f>
        <v/>
      </c>
      <c r="I299" t="str">
        <f>"8/16/2019 12:42:19 AM"</f>
        <v>8/16/2019 12:42:19 AM</v>
      </c>
      <c r="J299" t="str">
        <f>"1"</f>
        <v>1</v>
      </c>
      <c r="K299" t="str">
        <f>"3"</f>
        <v>3</v>
      </c>
      <c r="L299" t="str">
        <f>"TN"</f>
        <v>TN</v>
      </c>
      <c r="M299" t="str">
        <f>"0.7991"</f>
        <v>0.7991</v>
      </c>
      <c r="N299" t="str">
        <f>"0.3645"</f>
        <v>0.3645</v>
      </c>
      <c r="O299" t="str">
        <f>"NPOC:3.620mg/L TN:0.3761mg/L"</f>
        <v>NPOC:3.620mg/L TN:0.3761mg/L</v>
      </c>
      <c r="P299">
        <v>0</v>
      </c>
      <c r="Q299" t="str">
        <f>"80"</f>
        <v>80</v>
      </c>
    </row>
    <row r="300" spans="1:17" x14ac:dyDescent="0.2">
      <c r="A300" t="str">
        <f>"Unknown"</f>
        <v>Unknown</v>
      </c>
      <c r="B300" t="str">
        <f>"NPOC/TN"</f>
        <v>NPOC/TN</v>
      </c>
      <c r="C300" t="str">
        <f>"1091"</f>
        <v>1091</v>
      </c>
      <c r="D300" t="str">
        <f>"24"</f>
        <v>24</v>
      </c>
      <c r="E300" t="str">
        <f>"C:\TOC3201\Methods\Itamar\acid_sample.met"</f>
        <v>C:\TOC3201\Methods\Itamar\acid_sample.met</v>
      </c>
      <c r="F300" t="str">
        <f>"C:\TOC3201\CalCurves\Itamar\N_cal_25ppm_acid_laurel.2019_08_15_12_20_41.cal"</f>
        <v>C:\TOC3201\CalCurves\Itamar\N_cal_25ppm_acid_laurel.2019_08_15_12_20_41.cal</v>
      </c>
      <c r="G300">
        <v>1</v>
      </c>
      <c r="H300" t="str">
        <f>""</f>
        <v/>
      </c>
      <c r="I300" t="str">
        <f>"8/16/2019 12:45:20 AM"</f>
        <v>8/16/2019 12:45:20 AM</v>
      </c>
      <c r="J300" t="str">
        <f>"1"</f>
        <v>1</v>
      </c>
      <c r="K300" t="str">
        <f>"4"</f>
        <v>4</v>
      </c>
      <c r="L300" t="str">
        <f>"TN"</f>
        <v>TN</v>
      </c>
      <c r="M300" t="str">
        <f>"0.8489"</f>
        <v>0.8489</v>
      </c>
      <c r="N300" t="str">
        <f>"0.3772"</f>
        <v>0.3772</v>
      </c>
      <c r="O300" t="str">
        <f>"NPOC:3.620mg/L TN:0.3761mg/L"</f>
        <v>NPOC:3.620mg/L TN:0.3761mg/L</v>
      </c>
      <c r="P300">
        <v>0</v>
      </c>
      <c r="Q300" t="str">
        <f>"80"</f>
        <v>80</v>
      </c>
    </row>
    <row r="301" spans="1:17" x14ac:dyDescent="0.2">
      <c r="A301" t="str">
        <f>"Unknown"</f>
        <v>Unknown</v>
      </c>
      <c r="B301" t="str">
        <f>"NPOC/TN"</f>
        <v>NPOC/TN</v>
      </c>
      <c r="C301" t="str">
        <f>"1093"</f>
        <v>1093</v>
      </c>
      <c r="D301" t="str">
        <f>"25"</f>
        <v>25</v>
      </c>
      <c r="E301" t="str">
        <f>"C:\TOC3201\Methods\Itamar\acid_sample.met"</f>
        <v>C:\TOC3201\Methods\Itamar\acid_sample.met</v>
      </c>
      <c r="F301" t="str">
        <f>"C:\TOC3201\CalCurves\Itamar\C_cal_100ppm_acid_laurel.2019_08_15_10_24_40.cal"</f>
        <v>C:\TOC3201\CalCurves\Itamar\C_cal_100ppm_acid_laurel.2019_08_15_10_24_40.cal</v>
      </c>
      <c r="G301">
        <v>1</v>
      </c>
      <c r="H301" t="str">
        <f>""</f>
        <v/>
      </c>
      <c r="I301" t="str">
        <f>"8/16/2019 12:57:47 AM"</f>
        <v>8/16/2019 12:57:47 AM</v>
      </c>
      <c r="J301" t="str">
        <f>"1"</f>
        <v>1</v>
      </c>
      <c r="K301" t="str">
        <f>"1"</f>
        <v>1</v>
      </c>
      <c r="L301" t="str">
        <f>"NPOC"</f>
        <v>NPOC</v>
      </c>
      <c r="M301" t="str">
        <f>"12.61"</f>
        <v>12.61</v>
      </c>
      <c r="N301" t="str">
        <f>"2.649"</f>
        <v>2.649</v>
      </c>
      <c r="O301" t="str">
        <f>"NPOC:2.680mg/L TN:0.3093mg/L"</f>
        <v>NPOC:2.680mg/L TN:0.3093mg/L</v>
      </c>
      <c r="P301">
        <v>0</v>
      </c>
      <c r="Q301" t="str">
        <f>"80"</f>
        <v>80</v>
      </c>
    </row>
    <row r="302" spans="1:17" x14ac:dyDescent="0.2">
      <c r="A302" t="str">
        <f>"Unknown"</f>
        <v>Unknown</v>
      </c>
      <c r="B302" t="str">
        <f>"NPOC/TN"</f>
        <v>NPOC/TN</v>
      </c>
      <c r="C302" t="str">
        <f>"1093"</f>
        <v>1093</v>
      </c>
      <c r="D302" t="str">
        <f>"25"</f>
        <v>25</v>
      </c>
      <c r="E302" t="str">
        <f>"C:\TOC3201\Methods\Itamar\acid_sample.met"</f>
        <v>C:\TOC3201\Methods\Itamar\acid_sample.met</v>
      </c>
      <c r="F302" t="str">
        <f>"C:\TOC3201\CalCurves\Itamar\C_cal_100ppm_acid_laurel.2019_08_15_10_24_40.cal"</f>
        <v>C:\TOC3201\CalCurves\Itamar\C_cal_100ppm_acid_laurel.2019_08_15_10_24_40.cal</v>
      </c>
      <c r="G302">
        <v>1</v>
      </c>
      <c r="H302" t="str">
        <f>""</f>
        <v/>
      </c>
      <c r="I302" t="str">
        <f>"8/16/2019 1:00:42 AM"</f>
        <v>8/16/2019 1:00:42 AM</v>
      </c>
      <c r="J302" t="str">
        <f>"1"</f>
        <v>1</v>
      </c>
      <c r="K302" t="str">
        <f>"2"</f>
        <v>2</v>
      </c>
      <c r="L302" t="str">
        <f>"NPOC"</f>
        <v>NPOC</v>
      </c>
      <c r="M302" t="str">
        <f>"12.67"</f>
        <v>12.67</v>
      </c>
      <c r="N302" t="str">
        <f>"2.662"</f>
        <v>2.662</v>
      </c>
      <c r="O302" t="str">
        <f>"NPOC:2.680mg/L TN:0.3093mg/L"</f>
        <v>NPOC:2.680mg/L TN:0.3093mg/L</v>
      </c>
      <c r="P302">
        <v>0</v>
      </c>
      <c r="Q302" t="str">
        <f>"80"</f>
        <v>80</v>
      </c>
    </row>
    <row r="303" spans="1:17" x14ac:dyDescent="0.2">
      <c r="A303" t="str">
        <f>"Unknown"</f>
        <v>Unknown</v>
      </c>
      <c r="B303" t="str">
        <f>"NPOC/TN"</f>
        <v>NPOC/TN</v>
      </c>
      <c r="C303" t="str">
        <f>"1093"</f>
        <v>1093</v>
      </c>
      <c r="D303" t="str">
        <f>"25"</f>
        <v>25</v>
      </c>
      <c r="E303" t="str">
        <f>"C:\TOC3201\Methods\Itamar\acid_sample.met"</f>
        <v>C:\TOC3201\Methods\Itamar\acid_sample.met</v>
      </c>
      <c r="F303" t="str">
        <f>"C:\TOC3201\CalCurves\Itamar\C_cal_100ppm_acid_laurel.2019_08_15_10_24_40.cal"</f>
        <v>C:\TOC3201\CalCurves\Itamar\C_cal_100ppm_acid_laurel.2019_08_15_10_24_40.cal</v>
      </c>
      <c r="G303">
        <v>1</v>
      </c>
      <c r="H303" t="str">
        <f>""</f>
        <v/>
      </c>
      <c r="I303" t="str">
        <f>"8/16/2019 1:03:35 AM"</f>
        <v>8/16/2019 1:03:35 AM</v>
      </c>
      <c r="J303" t="str">
        <f>"1"</f>
        <v>1</v>
      </c>
      <c r="K303" t="str">
        <f>"3"</f>
        <v>3</v>
      </c>
      <c r="L303" t="str">
        <f>"NPOC"</f>
        <v>NPOC</v>
      </c>
      <c r="M303" t="str">
        <f>"12.99"</f>
        <v>12.99</v>
      </c>
      <c r="N303" t="str">
        <f>"2.728"</f>
        <v>2.728</v>
      </c>
      <c r="O303" t="str">
        <f>"NPOC:2.680mg/L TN:0.3093mg/L"</f>
        <v>NPOC:2.680mg/L TN:0.3093mg/L</v>
      </c>
      <c r="P303">
        <v>0</v>
      </c>
      <c r="Q303" t="str">
        <f>"80"</f>
        <v>80</v>
      </c>
    </row>
    <row r="304" spans="1:17" x14ac:dyDescent="0.2">
      <c r="A304" t="str">
        <f>"Unknown"</f>
        <v>Unknown</v>
      </c>
      <c r="B304" t="str">
        <f>"NPOC/TN"</f>
        <v>NPOC/TN</v>
      </c>
      <c r="C304" t="str">
        <f>"1093"</f>
        <v>1093</v>
      </c>
      <c r="D304" t="str">
        <f>"25"</f>
        <v>25</v>
      </c>
      <c r="E304" t="str">
        <f>"C:\TOC3201\Methods\Itamar\acid_sample.met"</f>
        <v>C:\TOC3201\Methods\Itamar\acid_sample.met</v>
      </c>
      <c r="F304" t="str">
        <f>"C:\TOC3201\CalCurves\Itamar\N_cal_25ppm_acid_laurel.2019_08_15_12_20_41.cal"</f>
        <v>C:\TOC3201\CalCurves\Itamar\N_cal_25ppm_acid_laurel.2019_08_15_12_20_41.cal</v>
      </c>
      <c r="G304">
        <v>1</v>
      </c>
      <c r="H304" t="str">
        <f>""</f>
        <v/>
      </c>
      <c r="I304" t="str">
        <f>"8/16/2019 12:57:47 AM"</f>
        <v>8/16/2019 12:57:47 AM</v>
      </c>
      <c r="J304" t="str">
        <f>"1"</f>
        <v>1</v>
      </c>
      <c r="K304" t="str">
        <f>"1"</f>
        <v>1</v>
      </c>
      <c r="L304" t="str">
        <f>"TN"</f>
        <v>TN</v>
      </c>
      <c r="M304" t="str">
        <f>"0.000"</f>
        <v>0.000</v>
      </c>
      <c r="N304" t="str">
        <f>"0.1609"</f>
        <v>0.1609</v>
      </c>
      <c r="O304" t="str">
        <f>"NPOC:2.680mg/L TN:0.3093mg/L"</f>
        <v>NPOC:2.680mg/L TN:0.3093mg/L</v>
      </c>
      <c r="P304">
        <v>1</v>
      </c>
      <c r="Q304" t="str">
        <f>"80"</f>
        <v>80</v>
      </c>
    </row>
    <row r="305" spans="1:17" x14ac:dyDescent="0.2">
      <c r="A305" t="str">
        <f>"Unknown"</f>
        <v>Unknown</v>
      </c>
      <c r="B305" t="str">
        <f>"NPOC/TN"</f>
        <v>NPOC/TN</v>
      </c>
      <c r="C305" t="str">
        <f>"1093"</f>
        <v>1093</v>
      </c>
      <c r="D305" t="str">
        <f>"25"</f>
        <v>25</v>
      </c>
      <c r="E305" t="str">
        <f>"C:\TOC3201\Methods\Itamar\acid_sample.met"</f>
        <v>C:\TOC3201\Methods\Itamar\acid_sample.met</v>
      </c>
      <c r="F305" t="str">
        <f>"C:\TOC3201\CalCurves\Itamar\N_cal_25ppm_acid_laurel.2019_08_15_12_20_41.cal"</f>
        <v>C:\TOC3201\CalCurves\Itamar\N_cal_25ppm_acid_laurel.2019_08_15_12_20_41.cal</v>
      </c>
      <c r="G305">
        <v>1</v>
      </c>
      <c r="H305" t="str">
        <f>""</f>
        <v/>
      </c>
      <c r="I305" t="str">
        <f>"8/16/2019 1:00:42 AM"</f>
        <v>8/16/2019 1:00:42 AM</v>
      </c>
      <c r="J305" t="str">
        <f>"1"</f>
        <v>1</v>
      </c>
      <c r="K305" t="str">
        <f>"2"</f>
        <v>2</v>
      </c>
      <c r="L305" t="str">
        <f>"TN"</f>
        <v>TN</v>
      </c>
      <c r="M305" t="str">
        <f>"0.7657"</f>
        <v>0.7657</v>
      </c>
      <c r="N305" t="str">
        <f>"0.3560"</f>
        <v>0.3560</v>
      </c>
      <c r="O305" t="str">
        <f>"NPOC:2.680mg/L TN:0.3093mg/L"</f>
        <v>NPOC:2.680mg/L TN:0.3093mg/L</v>
      </c>
      <c r="P305">
        <v>0</v>
      </c>
      <c r="Q305" t="str">
        <f>"80"</f>
        <v>80</v>
      </c>
    </row>
    <row r="306" spans="1:17" x14ac:dyDescent="0.2">
      <c r="A306" t="str">
        <f>"Unknown"</f>
        <v>Unknown</v>
      </c>
      <c r="B306" t="str">
        <f>"NPOC/TN"</f>
        <v>NPOC/TN</v>
      </c>
      <c r="C306" t="str">
        <f>"1093"</f>
        <v>1093</v>
      </c>
      <c r="D306" t="str">
        <f>"25"</f>
        <v>25</v>
      </c>
      <c r="E306" t="str">
        <f>"C:\TOC3201\Methods\Itamar\acid_sample.met"</f>
        <v>C:\TOC3201\Methods\Itamar\acid_sample.met</v>
      </c>
      <c r="F306" t="str">
        <f>"C:\TOC3201\CalCurves\Itamar\N_cal_25ppm_acid_laurel.2019_08_15_12_20_41.cal"</f>
        <v>C:\TOC3201\CalCurves\Itamar\N_cal_25ppm_acid_laurel.2019_08_15_12_20_41.cal</v>
      </c>
      <c r="G306">
        <v>1</v>
      </c>
      <c r="H306" t="str">
        <f>""</f>
        <v/>
      </c>
      <c r="I306" t="str">
        <f>"8/16/2019 1:03:35 AM"</f>
        <v>8/16/2019 1:03:35 AM</v>
      </c>
      <c r="J306" t="str">
        <f>"1"</f>
        <v>1</v>
      </c>
      <c r="K306" t="str">
        <f>"3"</f>
        <v>3</v>
      </c>
      <c r="L306" t="str">
        <f>"TN"</f>
        <v>TN</v>
      </c>
      <c r="M306" t="str">
        <f>"0.000"</f>
        <v>0.000</v>
      </c>
      <c r="N306" t="str">
        <f>"0.1609"</f>
        <v>0.1609</v>
      </c>
      <c r="O306" t="str">
        <f>"NPOC:2.680mg/L TN:0.3093mg/L"</f>
        <v>NPOC:2.680mg/L TN:0.3093mg/L</v>
      </c>
      <c r="P306">
        <v>1</v>
      </c>
      <c r="Q306" t="str">
        <f>"80"</f>
        <v>80</v>
      </c>
    </row>
    <row r="307" spans="1:17" x14ac:dyDescent="0.2">
      <c r="A307" t="str">
        <f>"Unknown"</f>
        <v>Unknown</v>
      </c>
      <c r="B307" t="str">
        <f>"NPOC/TN"</f>
        <v>NPOC/TN</v>
      </c>
      <c r="C307" t="str">
        <f>"1093"</f>
        <v>1093</v>
      </c>
      <c r="D307" t="str">
        <f>"25"</f>
        <v>25</v>
      </c>
      <c r="E307" t="str">
        <f>"C:\TOC3201\Methods\Itamar\acid_sample.met"</f>
        <v>C:\TOC3201\Methods\Itamar\acid_sample.met</v>
      </c>
      <c r="F307" t="str">
        <f>"C:\TOC3201\CalCurves\Itamar\N_cal_25ppm_acid_laurel.2019_08_15_12_20_41.cal"</f>
        <v>C:\TOC3201\CalCurves\Itamar\N_cal_25ppm_acid_laurel.2019_08_15_12_20_41.cal</v>
      </c>
      <c r="G307">
        <v>1</v>
      </c>
      <c r="H307" t="str">
        <f>""</f>
        <v/>
      </c>
      <c r="I307" t="str">
        <f>"8/16/2019 1:06:18 AM"</f>
        <v>8/16/2019 1:06:18 AM</v>
      </c>
      <c r="J307" t="str">
        <f>"1"</f>
        <v>1</v>
      </c>
      <c r="K307" t="str">
        <f>"4"</f>
        <v>4</v>
      </c>
      <c r="L307" t="str">
        <f>"TN"</f>
        <v>TN</v>
      </c>
      <c r="M307" t="str">
        <f>"0.4289"</f>
        <v>0.4289</v>
      </c>
      <c r="N307" t="str">
        <f>"0.2702"</f>
        <v>0.2702</v>
      </c>
      <c r="O307" t="str">
        <f>"NPOC:2.680mg/L TN:0.3093mg/L"</f>
        <v>NPOC:2.680mg/L TN:0.3093mg/L</v>
      </c>
      <c r="P307">
        <v>0</v>
      </c>
      <c r="Q307" t="str">
        <f>"80"</f>
        <v>80</v>
      </c>
    </row>
    <row r="308" spans="1:17" x14ac:dyDescent="0.2">
      <c r="A308" t="str">
        <f>"Unknown"</f>
        <v>Unknown</v>
      </c>
      <c r="B308" t="str">
        <f>"NPOC/TN"</f>
        <v>NPOC/TN</v>
      </c>
      <c r="C308" t="str">
        <f>"1093"</f>
        <v>1093</v>
      </c>
      <c r="D308" t="str">
        <f>"25"</f>
        <v>25</v>
      </c>
      <c r="E308" t="str">
        <f>"C:\TOC3201\Methods\Itamar\acid_sample.met"</f>
        <v>C:\TOC3201\Methods\Itamar\acid_sample.met</v>
      </c>
      <c r="F308" t="str">
        <f>"C:\TOC3201\CalCurves\Itamar\N_cal_25ppm_acid_laurel.2019_08_15_12_20_41.cal"</f>
        <v>C:\TOC3201\CalCurves\Itamar\N_cal_25ppm_acid_laurel.2019_08_15_12_20_41.cal</v>
      </c>
      <c r="G308">
        <v>1</v>
      </c>
      <c r="H308" t="str">
        <f>""</f>
        <v/>
      </c>
      <c r="I308" t="str">
        <f>"8/16/2019 1:08:46 AM"</f>
        <v>8/16/2019 1:08:46 AM</v>
      </c>
      <c r="J308" t="str">
        <f>"1"</f>
        <v>1</v>
      </c>
      <c r="K308" t="str">
        <f>"5"</f>
        <v>5</v>
      </c>
      <c r="L308" t="str">
        <f>"TN"</f>
        <v>TN</v>
      </c>
      <c r="M308" t="str">
        <f>"0.5523"</f>
        <v>0.5523</v>
      </c>
      <c r="N308" t="str">
        <f>"0.3016"</f>
        <v>0.3016</v>
      </c>
      <c r="O308" t="str">
        <f>"NPOC:2.680mg/L TN:0.3093mg/L"</f>
        <v>NPOC:2.680mg/L TN:0.3093mg/L</v>
      </c>
      <c r="P308">
        <v>0</v>
      </c>
      <c r="Q308" t="str">
        <f>"80"</f>
        <v>80</v>
      </c>
    </row>
    <row r="309" spans="1:17" x14ac:dyDescent="0.2">
      <c r="A309" t="str">
        <f>"Unknown"</f>
        <v>Unknown</v>
      </c>
      <c r="B309" t="str">
        <f>"NPOC/TN"</f>
        <v>NPOC/TN</v>
      </c>
      <c r="C309" t="str">
        <f>"1095"</f>
        <v>1095</v>
      </c>
      <c r="D309" t="str">
        <f>"26"</f>
        <v>26</v>
      </c>
      <c r="E309" t="str">
        <f>"C:\TOC3201\Methods\Itamar\acid_sample.met"</f>
        <v>C:\TOC3201\Methods\Itamar\acid_sample.met</v>
      </c>
      <c r="F309" t="str">
        <f>"C:\TOC3201\CalCurves\Itamar\C_cal_100ppm_acid_laurel.2019_08_15_10_24_40.cal"</f>
        <v>C:\TOC3201\CalCurves\Itamar\C_cal_100ppm_acid_laurel.2019_08_15_10_24_40.cal</v>
      </c>
      <c r="G309">
        <v>1</v>
      </c>
      <c r="H309" t="str">
        <f>""</f>
        <v/>
      </c>
      <c r="I309" t="str">
        <f>"8/16/2019 1:18:08 AM"</f>
        <v>8/16/2019 1:18:08 AM</v>
      </c>
      <c r="J309" t="str">
        <f>"1"</f>
        <v>1</v>
      </c>
      <c r="K309" t="str">
        <f>"1"</f>
        <v>1</v>
      </c>
      <c r="L309" t="str">
        <f>"NPOC"</f>
        <v>NPOC</v>
      </c>
      <c r="M309" t="str">
        <f>"13.85"</f>
        <v>13.85</v>
      </c>
      <c r="N309" t="str">
        <f>"2.904"</f>
        <v>2.904</v>
      </c>
      <c r="O309" t="str">
        <f>"NPOC:2.947mg/L TN:0.3344mg/L"</f>
        <v>NPOC:2.947mg/L TN:0.3344mg/L</v>
      </c>
      <c r="P309">
        <v>0</v>
      </c>
      <c r="Q309" t="str">
        <f>"80"</f>
        <v>80</v>
      </c>
    </row>
    <row r="310" spans="1:17" x14ac:dyDescent="0.2">
      <c r="A310" t="str">
        <f>"Unknown"</f>
        <v>Unknown</v>
      </c>
      <c r="B310" t="str">
        <f>"NPOC/TN"</f>
        <v>NPOC/TN</v>
      </c>
      <c r="C310" t="str">
        <f>"1095"</f>
        <v>1095</v>
      </c>
      <c r="D310" t="str">
        <f>"26"</f>
        <v>26</v>
      </c>
      <c r="E310" t="str">
        <f>"C:\TOC3201\Methods\Itamar\acid_sample.met"</f>
        <v>C:\TOC3201\Methods\Itamar\acid_sample.met</v>
      </c>
      <c r="F310" t="str">
        <f>"C:\TOC3201\CalCurves\Itamar\C_cal_100ppm_acid_laurel.2019_08_15_10_24_40.cal"</f>
        <v>C:\TOC3201\CalCurves\Itamar\C_cal_100ppm_acid_laurel.2019_08_15_10_24_40.cal</v>
      </c>
      <c r="G310">
        <v>1</v>
      </c>
      <c r="H310" t="str">
        <f>""</f>
        <v/>
      </c>
      <c r="I310" t="str">
        <f>"8/16/2019 1:21:03 AM"</f>
        <v>8/16/2019 1:21:03 AM</v>
      </c>
      <c r="J310" t="str">
        <f>"1"</f>
        <v>1</v>
      </c>
      <c r="K310" t="str">
        <f>"2"</f>
        <v>2</v>
      </c>
      <c r="L310" t="str">
        <f>"NPOC"</f>
        <v>NPOC</v>
      </c>
      <c r="M310" t="str">
        <f>"13.96"</f>
        <v>13.96</v>
      </c>
      <c r="N310" t="str">
        <f>"2.927"</f>
        <v>2.927</v>
      </c>
      <c r="O310" t="str">
        <f>"NPOC:2.947mg/L TN:0.3344mg/L"</f>
        <v>NPOC:2.947mg/L TN:0.3344mg/L</v>
      </c>
      <c r="P310">
        <v>0</v>
      </c>
      <c r="Q310" t="str">
        <f>"80"</f>
        <v>80</v>
      </c>
    </row>
    <row r="311" spans="1:17" x14ac:dyDescent="0.2">
      <c r="A311" t="str">
        <f>"Unknown"</f>
        <v>Unknown</v>
      </c>
      <c r="B311" t="str">
        <f>"NPOC/TN"</f>
        <v>NPOC/TN</v>
      </c>
      <c r="C311" t="str">
        <f>"1095"</f>
        <v>1095</v>
      </c>
      <c r="D311" t="str">
        <f>"26"</f>
        <v>26</v>
      </c>
      <c r="E311" t="str">
        <f>"C:\TOC3201\Methods\Itamar\acid_sample.met"</f>
        <v>C:\TOC3201\Methods\Itamar\acid_sample.met</v>
      </c>
      <c r="F311" t="str">
        <f>"C:\TOC3201\CalCurves\Itamar\C_cal_100ppm_acid_laurel.2019_08_15_10_24_40.cal"</f>
        <v>C:\TOC3201\CalCurves\Itamar\C_cal_100ppm_acid_laurel.2019_08_15_10_24_40.cal</v>
      </c>
      <c r="G311">
        <v>1</v>
      </c>
      <c r="H311" t="str">
        <f>""</f>
        <v/>
      </c>
      <c r="I311" t="str">
        <f>"8/16/2019 1:23:56 AM"</f>
        <v>8/16/2019 1:23:56 AM</v>
      </c>
      <c r="J311" t="str">
        <f>"1"</f>
        <v>1</v>
      </c>
      <c r="K311" t="str">
        <f>"3"</f>
        <v>3</v>
      </c>
      <c r="L311" t="str">
        <f>"NPOC"</f>
        <v>NPOC</v>
      </c>
      <c r="M311" t="str">
        <f>"14.51"</f>
        <v>14.51</v>
      </c>
      <c r="N311" t="str">
        <f>"3.040"</f>
        <v>3.040</v>
      </c>
      <c r="O311" t="str">
        <f>"NPOC:2.947mg/L TN:0.3344mg/L"</f>
        <v>NPOC:2.947mg/L TN:0.3344mg/L</v>
      </c>
      <c r="P311">
        <v>1</v>
      </c>
      <c r="Q311" t="str">
        <f>"80"</f>
        <v>80</v>
      </c>
    </row>
    <row r="312" spans="1:17" x14ac:dyDescent="0.2">
      <c r="A312" t="str">
        <f>"Unknown"</f>
        <v>Unknown</v>
      </c>
      <c r="B312" t="str">
        <f>"NPOC/TN"</f>
        <v>NPOC/TN</v>
      </c>
      <c r="C312" t="str">
        <f>"1095"</f>
        <v>1095</v>
      </c>
      <c r="D312" t="str">
        <f>"26"</f>
        <v>26</v>
      </c>
      <c r="E312" t="str">
        <f>"C:\TOC3201\Methods\Itamar\acid_sample.met"</f>
        <v>C:\TOC3201\Methods\Itamar\acid_sample.met</v>
      </c>
      <c r="F312" t="str">
        <f>"C:\TOC3201\CalCurves\Itamar\C_cal_100ppm_acid_laurel.2019_08_15_10_24_40.cal"</f>
        <v>C:\TOC3201\CalCurves\Itamar\C_cal_100ppm_acid_laurel.2019_08_15_10_24_40.cal</v>
      </c>
      <c r="G312">
        <v>1</v>
      </c>
      <c r="H312" t="str">
        <f>""</f>
        <v/>
      </c>
      <c r="I312" t="str">
        <f>"8/16/2019 1:26:49 AM"</f>
        <v>8/16/2019 1:26:49 AM</v>
      </c>
      <c r="J312" t="str">
        <f>"1"</f>
        <v>1</v>
      </c>
      <c r="K312" t="str">
        <f>"4"</f>
        <v>4</v>
      </c>
      <c r="L312" t="str">
        <f>"NPOC"</f>
        <v>NPOC</v>
      </c>
      <c r="M312" t="str">
        <f>"14.37"</f>
        <v>14.37</v>
      </c>
      <c r="N312" t="str">
        <f>"3.011"</f>
        <v>3.011</v>
      </c>
      <c r="O312" t="str">
        <f>"NPOC:2.947mg/L TN:0.3344mg/L"</f>
        <v>NPOC:2.947mg/L TN:0.3344mg/L</v>
      </c>
      <c r="P312">
        <v>0</v>
      </c>
      <c r="Q312" t="str">
        <f>"80"</f>
        <v>80</v>
      </c>
    </row>
    <row r="313" spans="1:17" x14ac:dyDescent="0.2">
      <c r="A313" t="str">
        <f>"Unknown"</f>
        <v>Unknown</v>
      </c>
      <c r="B313" t="str">
        <f>"NPOC/TN"</f>
        <v>NPOC/TN</v>
      </c>
      <c r="C313" t="str">
        <f>"1095"</f>
        <v>1095</v>
      </c>
      <c r="D313" t="str">
        <f>"26"</f>
        <v>26</v>
      </c>
      <c r="E313" t="str">
        <f>"C:\TOC3201\Methods\Itamar\acid_sample.met"</f>
        <v>C:\TOC3201\Methods\Itamar\acid_sample.met</v>
      </c>
      <c r="F313" t="str">
        <f>"C:\TOC3201\CalCurves\Itamar\N_cal_25ppm_acid_laurel.2019_08_15_12_20_41.cal"</f>
        <v>C:\TOC3201\CalCurves\Itamar\N_cal_25ppm_acid_laurel.2019_08_15_12_20_41.cal</v>
      </c>
      <c r="G313">
        <v>1</v>
      </c>
      <c r="H313" t="str">
        <f>""</f>
        <v/>
      </c>
      <c r="I313" t="str">
        <f>"8/16/2019 1:18:08 AM"</f>
        <v>8/16/2019 1:18:08 AM</v>
      </c>
      <c r="J313" t="str">
        <f>"1"</f>
        <v>1</v>
      </c>
      <c r="K313" t="str">
        <f>"1"</f>
        <v>1</v>
      </c>
      <c r="L313" t="str">
        <f>"TN"</f>
        <v>TN</v>
      </c>
      <c r="M313" t="str">
        <f>"0.000"</f>
        <v>0.000</v>
      </c>
      <c r="N313" t="str">
        <f>"0.1609"</f>
        <v>0.1609</v>
      </c>
      <c r="O313" t="str">
        <f>"NPOC:2.947mg/L TN:0.3344mg/L"</f>
        <v>NPOC:2.947mg/L TN:0.3344mg/L</v>
      </c>
      <c r="P313">
        <v>1</v>
      </c>
      <c r="Q313" t="str">
        <f>"80"</f>
        <v>80</v>
      </c>
    </row>
    <row r="314" spans="1:17" x14ac:dyDescent="0.2">
      <c r="A314" t="str">
        <f>"Unknown"</f>
        <v>Unknown</v>
      </c>
      <c r="B314" t="str">
        <f>"NPOC/TN"</f>
        <v>NPOC/TN</v>
      </c>
      <c r="C314" t="str">
        <f>"1095"</f>
        <v>1095</v>
      </c>
      <c r="D314" t="str">
        <f>"26"</f>
        <v>26</v>
      </c>
      <c r="E314" t="str">
        <f>"C:\TOC3201\Methods\Itamar\acid_sample.met"</f>
        <v>C:\TOC3201\Methods\Itamar\acid_sample.met</v>
      </c>
      <c r="F314" t="str">
        <f>"C:\TOC3201\CalCurves\Itamar\N_cal_25ppm_acid_laurel.2019_08_15_12_20_41.cal"</f>
        <v>C:\TOC3201\CalCurves\Itamar\N_cal_25ppm_acid_laurel.2019_08_15_12_20_41.cal</v>
      </c>
      <c r="G314">
        <v>1</v>
      </c>
      <c r="H314" t="str">
        <f>""</f>
        <v/>
      </c>
      <c r="I314" t="str">
        <f>"8/16/2019 1:21:03 AM"</f>
        <v>8/16/2019 1:21:03 AM</v>
      </c>
      <c r="J314" t="str">
        <f>"1"</f>
        <v>1</v>
      </c>
      <c r="K314" t="str">
        <f>"2"</f>
        <v>2</v>
      </c>
      <c r="L314" t="str">
        <f>"TN"</f>
        <v>TN</v>
      </c>
      <c r="M314" t="str">
        <f>"0.6006"</f>
        <v>0.6006</v>
      </c>
      <c r="N314" t="str">
        <f>"0.3139"</f>
        <v>0.3139</v>
      </c>
      <c r="O314" t="str">
        <f>"NPOC:2.947mg/L TN:0.3344mg/L"</f>
        <v>NPOC:2.947mg/L TN:0.3344mg/L</v>
      </c>
      <c r="P314">
        <v>0</v>
      </c>
      <c r="Q314" t="str">
        <f>"80"</f>
        <v>80</v>
      </c>
    </row>
    <row r="315" spans="1:17" x14ac:dyDescent="0.2">
      <c r="A315" t="str">
        <f>"Unknown"</f>
        <v>Unknown</v>
      </c>
      <c r="B315" t="str">
        <f>"NPOC/TN"</f>
        <v>NPOC/TN</v>
      </c>
      <c r="C315" t="str">
        <f>"1095"</f>
        <v>1095</v>
      </c>
      <c r="D315" t="str">
        <f>"26"</f>
        <v>26</v>
      </c>
      <c r="E315" t="str">
        <f>"C:\TOC3201\Methods\Itamar\acid_sample.met"</f>
        <v>C:\TOC3201\Methods\Itamar\acid_sample.met</v>
      </c>
      <c r="F315" t="str">
        <f>"C:\TOC3201\CalCurves\Itamar\N_cal_25ppm_acid_laurel.2019_08_15_12_20_41.cal"</f>
        <v>C:\TOC3201\CalCurves\Itamar\N_cal_25ppm_acid_laurel.2019_08_15_12_20_41.cal</v>
      </c>
      <c r="G315">
        <v>1</v>
      </c>
      <c r="H315" t="str">
        <f>""</f>
        <v/>
      </c>
      <c r="I315" t="str">
        <f>"8/16/2019 1:23:56 AM"</f>
        <v>8/16/2019 1:23:56 AM</v>
      </c>
      <c r="J315" t="str">
        <f>"1"</f>
        <v>1</v>
      </c>
      <c r="K315" t="str">
        <f>"3"</f>
        <v>3</v>
      </c>
      <c r="L315" t="str">
        <f>"TN"</f>
        <v>TN</v>
      </c>
      <c r="M315" t="str">
        <f>"1.044"</f>
        <v>1.044</v>
      </c>
      <c r="N315" t="str">
        <f>"0.4269"</f>
        <v>0.4269</v>
      </c>
      <c r="O315" t="str">
        <f>"NPOC:2.947mg/L TN:0.3344mg/L"</f>
        <v>NPOC:2.947mg/L TN:0.3344mg/L</v>
      </c>
      <c r="P315">
        <v>1</v>
      </c>
      <c r="Q315" t="str">
        <f>"80"</f>
        <v>80</v>
      </c>
    </row>
    <row r="316" spans="1:17" x14ac:dyDescent="0.2">
      <c r="A316" t="str">
        <f>"Unknown"</f>
        <v>Unknown</v>
      </c>
      <c r="B316" t="str">
        <f>"NPOC/TN"</f>
        <v>NPOC/TN</v>
      </c>
      <c r="C316" t="str">
        <f>"1095"</f>
        <v>1095</v>
      </c>
      <c r="D316" t="str">
        <f>"26"</f>
        <v>26</v>
      </c>
      <c r="E316" t="str">
        <f>"C:\TOC3201\Methods\Itamar\acid_sample.met"</f>
        <v>C:\TOC3201\Methods\Itamar\acid_sample.met</v>
      </c>
      <c r="F316" t="str">
        <f>"C:\TOC3201\CalCurves\Itamar\N_cal_25ppm_acid_laurel.2019_08_15_12_20_41.cal"</f>
        <v>C:\TOC3201\CalCurves\Itamar\N_cal_25ppm_acid_laurel.2019_08_15_12_20_41.cal</v>
      </c>
      <c r="G316">
        <v>1</v>
      </c>
      <c r="H316" t="str">
        <f>""</f>
        <v/>
      </c>
      <c r="I316" t="str">
        <f>"8/16/2019 1:26:49 AM"</f>
        <v>8/16/2019 1:26:49 AM</v>
      </c>
      <c r="J316" t="str">
        <f>"1"</f>
        <v>1</v>
      </c>
      <c r="K316" t="str">
        <f>"4"</f>
        <v>4</v>
      </c>
      <c r="L316" t="str">
        <f>"TN"</f>
        <v>TN</v>
      </c>
      <c r="M316" t="str">
        <f>"0.7254"</f>
        <v>0.7254</v>
      </c>
      <c r="N316" t="str">
        <f>"0.3457"</f>
        <v>0.3457</v>
      </c>
      <c r="O316" t="str">
        <f>"NPOC:2.947mg/L TN:0.3344mg/L"</f>
        <v>NPOC:2.947mg/L TN:0.3344mg/L</v>
      </c>
      <c r="P316">
        <v>0</v>
      </c>
      <c r="Q316" t="str">
        <f>"80"</f>
        <v>80</v>
      </c>
    </row>
    <row r="317" spans="1:17" x14ac:dyDescent="0.2">
      <c r="A317" t="str">
        <f>"Unknown"</f>
        <v>Unknown</v>
      </c>
      <c r="B317" t="str">
        <f>"NPOC/TN"</f>
        <v>NPOC/TN</v>
      </c>
      <c r="C317" t="str">
        <f>"1095"</f>
        <v>1095</v>
      </c>
      <c r="D317" t="str">
        <f>"26"</f>
        <v>26</v>
      </c>
      <c r="E317" t="str">
        <f>"C:\TOC3201\Methods\Itamar\acid_sample.met"</f>
        <v>C:\TOC3201\Methods\Itamar\acid_sample.met</v>
      </c>
      <c r="F317" t="str">
        <f>"C:\TOC3201\CalCurves\Itamar\N_cal_25ppm_acid_laurel.2019_08_15_12_20_41.cal"</f>
        <v>C:\TOC3201\CalCurves\Itamar\N_cal_25ppm_acid_laurel.2019_08_15_12_20_41.cal</v>
      </c>
      <c r="G317">
        <v>1</v>
      </c>
      <c r="H317" t="str">
        <f>""</f>
        <v/>
      </c>
      <c r="I317" t="str">
        <f>"8/16/2019 1:29:31 AM"</f>
        <v>8/16/2019 1:29:31 AM</v>
      </c>
      <c r="J317" t="str">
        <f>"1"</f>
        <v>1</v>
      </c>
      <c r="K317" t="str">
        <f>"5"</f>
        <v>5</v>
      </c>
      <c r="L317" t="str">
        <f>"TN"</f>
        <v>TN</v>
      </c>
      <c r="M317" t="str">
        <f>"0.7169"</f>
        <v>0.7169</v>
      </c>
      <c r="N317" t="str">
        <f>"0.3436"</f>
        <v>0.3436</v>
      </c>
      <c r="O317" t="str">
        <f>"NPOC:2.947mg/L TN:0.3344mg/L"</f>
        <v>NPOC:2.947mg/L TN:0.3344mg/L</v>
      </c>
      <c r="P317">
        <v>0</v>
      </c>
      <c r="Q317" t="str">
        <f>"80"</f>
        <v>80</v>
      </c>
    </row>
    <row r="318" spans="1:17" x14ac:dyDescent="0.2">
      <c r="A318" t="str">
        <f>"Unknown"</f>
        <v>Unknown</v>
      </c>
      <c r="B318" t="str">
        <f>"NPOC/TN"</f>
        <v>NPOC/TN</v>
      </c>
      <c r="C318" t="str">
        <f>"1097"</f>
        <v>1097</v>
      </c>
      <c r="D318" t="str">
        <f>"27"</f>
        <v>27</v>
      </c>
      <c r="E318" t="str">
        <f>"C:\TOC3201\Methods\Itamar\acid_sample.met"</f>
        <v>C:\TOC3201\Methods\Itamar\acid_sample.met</v>
      </c>
      <c r="F318" t="str">
        <f>"C:\TOC3201\CalCurves\Itamar\C_cal_100ppm_acid_laurel.2019_08_15_10_24_40.cal"</f>
        <v>C:\TOC3201\CalCurves\Itamar\C_cal_100ppm_acid_laurel.2019_08_15_10_24_40.cal</v>
      </c>
      <c r="G318">
        <v>1</v>
      </c>
      <c r="H318" t="str">
        <f>""</f>
        <v/>
      </c>
      <c r="I318" t="str">
        <f>"8/16/2019 1:38:56 AM"</f>
        <v>8/16/2019 1:38:56 AM</v>
      </c>
      <c r="J318" t="str">
        <f>"1"</f>
        <v>1</v>
      </c>
      <c r="K318" t="str">
        <f>"1"</f>
        <v>1</v>
      </c>
      <c r="L318" t="str">
        <f>"NPOC"</f>
        <v>NPOC</v>
      </c>
      <c r="M318" t="str">
        <f>"13.37"</f>
        <v>13.37</v>
      </c>
      <c r="N318" t="str">
        <f>"2.806"</f>
        <v>2.806</v>
      </c>
      <c r="O318" t="str">
        <f>"NPOC:2.847mg/L TN:0.1609mg/L"</f>
        <v>NPOC:2.847mg/L TN:0.1609mg/L</v>
      </c>
      <c r="P318">
        <v>0</v>
      </c>
      <c r="Q318" t="str">
        <f>"80"</f>
        <v>80</v>
      </c>
    </row>
    <row r="319" spans="1:17" x14ac:dyDescent="0.2">
      <c r="A319" t="str">
        <f>"Unknown"</f>
        <v>Unknown</v>
      </c>
      <c r="B319" t="str">
        <f>"NPOC/TN"</f>
        <v>NPOC/TN</v>
      </c>
      <c r="C319" t="str">
        <f>"1097"</f>
        <v>1097</v>
      </c>
      <c r="D319" t="str">
        <f>"27"</f>
        <v>27</v>
      </c>
      <c r="E319" t="str">
        <f>"C:\TOC3201\Methods\Itamar\acid_sample.met"</f>
        <v>C:\TOC3201\Methods\Itamar\acid_sample.met</v>
      </c>
      <c r="F319" t="str">
        <f>"C:\TOC3201\CalCurves\Itamar\C_cal_100ppm_acid_laurel.2019_08_15_10_24_40.cal"</f>
        <v>C:\TOC3201\CalCurves\Itamar\C_cal_100ppm_acid_laurel.2019_08_15_10_24_40.cal</v>
      </c>
      <c r="G319">
        <v>1</v>
      </c>
      <c r="H319" t="str">
        <f>""</f>
        <v/>
      </c>
      <c r="I319" t="str">
        <f>"8/16/2019 1:41:50 AM"</f>
        <v>8/16/2019 1:41:50 AM</v>
      </c>
      <c r="J319" t="str">
        <f>"1"</f>
        <v>1</v>
      </c>
      <c r="K319" t="str">
        <f>"2"</f>
        <v>2</v>
      </c>
      <c r="L319" t="str">
        <f>"NPOC"</f>
        <v>NPOC</v>
      </c>
      <c r="M319" t="str">
        <f>"12.94"</f>
        <v>12.94</v>
      </c>
      <c r="N319" t="str">
        <f>"2.717"</f>
        <v>2.717</v>
      </c>
      <c r="O319" t="str">
        <f>"NPOC:2.847mg/L TN:0.1609mg/L"</f>
        <v>NPOC:2.847mg/L TN:0.1609mg/L</v>
      </c>
      <c r="P319">
        <v>1</v>
      </c>
      <c r="Q319" t="str">
        <f>"80"</f>
        <v>80</v>
      </c>
    </row>
    <row r="320" spans="1:17" x14ac:dyDescent="0.2">
      <c r="A320" t="str">
        <f>"Unknown"</f>
        <v>Unknown</v>
      </c>
      <c r="B320" t="str">
        <f>"NPOC/TN"</f>
        <v>NPOC/TN</v>
      </c>
      <c r="C320" t="str">
        <f>"1097"</f>
        <v>1097</v>
      </c>
      <c r="D320" t="str">
        <f>"27"</f>
        <v>27</v>
      </c>
      <c r="E320" t="str">
        <f>"C:\TOC3201\Methods\Itamar\acid_sample.met"</f>
        <v>C:\TOC3201\Methods\Itamar\acid_sample.met</v>
      </c>
      <c r="F320" t="str">
        <f>"C:\TOC3201\CalCurves\Itamar\C_cal_100ppm_acid_laurel.2019_08_15_10_24_40.cal"</f>
        <v>C:\TOC3201\CalCurves\Itamar\C_cal_100ppm_acid_laurel.2019_08_15_10_24_40.cal</v>
      </c>
      <c r="G320">
        <v>1</v>
      </c>
      <c r="H320" t="str">
        <f>""</f>
        <v/>
      </c>
      <c r="I320" t="str">
        <f>"8/16/2019 1:44:49 AM"</f>
        <v>8/16/2019 1:44:49 AM</v>
      </c>
      <c r="J320" t="str">
        <f>"1"</f>
        <v>1</v>
      </c>
      <c r="K320" t="str">
        <f>"3"</f>
        <v>3</v>
      </c>
      <c r="L320" t="str">
        <f>"NPOC"</f>
        <v>NPOC</v>
      </c>
      <c r="M320" t="str">
        <f>"13.64"</f>
        <v>13.64</v>
      </c>
      <c r="N320" t="str">
        <f>"2.861"</f>
        <v>2.861</v>
      </c>
      <c r="O320" t="str">
        <f>"NPOC:2.847mg/L TN:0.1609mg/L"</f>
        <v>NPOC:2.847mg/L TN:0.1609mg/L</v>
      </c>
      <c r="P320">
        <v>0</v>
      </c>
      <c r="Q320" t="str">
        <f>"80"</f>
        <v>80</v>
      </c>
    </row>
    <row r="321" spans="1:17" x14ac:dyDescent="0.2">
      <c r="A321" t="str">
        <f>"Unknown"</f>
        <v>Unknown</v>
      </c>
      <c r="B321" t="str">
        <f>"NPOC/TN"</f>
        <v>NPOC/TN</v>
      </c>
      <c r="C321" t="str">
        <f>"1097"</f>
        <v>1097</v>
      </c>
      <c r="D321" t="str">
        <f>"27"</f>
        <v>27</v>
      </c>
      <c r="E321" t="str">
        <f>"C:\TOC3201\Methods\Itamar\acid_sample.met"</f>
        <v>C:\TOC3201\Methods\Itamar\acid_sample.met</v>
      </c>
      <c r="F321" t="str">
        <f>"C:\TOC3201\CalCurves\Itamar\C_cal_100ppm_acid_laurel.2019_08_15_10_24_40.cal"</f>
        <v>C:\TOC3201\CalCurves\Itamar\C_cal_100ppm_acid_laurel.2019_08_15_10_24_40.cal</v>
      </c>
      <c r="G321">
        <v>1</v>
      </c>
      <c r="H321" t="str">
        <f>""</f>
        <v/>
      </c>
      <c r="I321" t="str">
        <f>"8/16/2019 1:47:46 AM"</f>
        <v>8/16/2019 1:47:46 AM</v>
      </c>
      <c r="J321" t="str">
        <f>"1"</f>
        <v>1</v>
      </c>
      <c r="K321" t="str">
        <f>"4"</f>
        <v>4</v>
      </c>
      <c r="L321" t="str">
        <f>"NPOC"</f>
        <v>NPOC</v>
      </c>
      <c r="M321" t="str">
        <f>"13.70"</f>
        <v>13.70</v>
      </c>
      <c r="N321" t="str">
        <f>"2.873"</f>
        <v>2.873</v>
      </c>
      <c r="O321" t="str">
        <f>"NPOC:2.847mg/L TN:0.1609mg/L"</f>
        <v>NPOC:2.847mg/L TN:0.1609mg/L</v>
      </c>
      <c r="P321">
        <v>0</v>
      </c>
      <c r="Q321" t="str">
        <f>"80"</f>
        <v>80</v>
      </c>
    </row>
    <row r="322" spans="1:17" x14ac:dyDescent="0.2">
      <c r="A322" t="str">
        <f>"Unknown"</f>
        <v>Unknown</v>
      </c>
      <c r="B322" t="str">
        <f>"NPOC/TN"</f>
        <v>NPOC/TN</v>
      </c>
      <c r="C322" t="str">
        <f>"1097"</f>
        <v>1097</v>
      </c>
      <c r="D322" t="str">
        <f>"27"</f>
        <v>27</v>
      </c>
      <c r="E322" t="str">
        <f>"C:\TOC3201\Methods\Itamar\acid_sample.met"</f>
        <v>C:\TOC3201\Methods\Itamar\acid_sample.met</v>
      </c>
      <c r="F322" t="str">
        <f>"C:\TOC3201\CalCurves\Itamar\N_cal_25ppm_acid_laurel.2019_08_15_12_20_41.cal"</f>
        <v>C:\TOC3201\CalCurves\Itamar\N_cal_25ppm_acid_laurel.2019_08_15_12_20_41.cal</v>
      </c>
      <c r="G322">
        <v>1</v>
      </c>
      <c r="H322" t="str">
        <f>""</f>
        <v/>
      </c>
      <c r="I322" t="str">
        <f>"8/16/2019 1:38:56 AM"</f>
        <v>8/16/2019 1:38:56 AM</v>
      </c>
      <c r="J322" t="str">
        <f>"1"</f>
        <v>1</v>
      </c>
      <c r="K322" t="str">
        <f>"1"</f>
        <v>1</v>
      </c>
      <c r="L322" t="str">
        <f>"TN"</f>
        <v>TN</v>
      </c>
      <c r="M322" t="str">
        <f>"0.000"</f>
        <v>0.000</v>
      </c>
      <c r="N322" t="str">
        <f>"0.1609"</f>
        <v>0.1609</v>
      </c>
      <c r="O322" t="str">
        <f>"NPOC:2.847mg/L TN:0.1609mg/L"</f>
        <v>NPOC:2.847mg/L TN:0.1609mg/L</v>
      </c>
      <c r="P322">
        <v>0</v>
      </c>
      <c r="Q322" t="str">
        <f>"80"</f>
        <v>80</v>
      </c>
    </row>
    <row r="323" spans="1:17" x14ac:dyDescent="0.2">
      <c r="A323" t="str">
        <f>"Unknown"</f>
        <v>Unknown</v>
      </c>
      <c r="B323" t="str">
        <f>"NPOC/TN"</f>
        <v>NPOC/TN</v>
      </c>
      <c r="C323" t="str">
        <f>"1097"</f>
        <v>1097</v>
      </c>
      <c r="D323" t="str">
        <f>"27"</f>
        <v>27</v>
      </c>
      <c r="E323" t="str">
        <f>"C:\TOC3201\Methods\Itamar\acid_sample.met"</f>
        <v>C:\TOC3201\Methods\Itamar\acid_sample.met</v>
      </c>
      <c r="F323" t="str">
        <f>"C:\TOC3201\CalCurves\Itamar\N_cal_25ppm_acid_laurel.2019_08_15_12_20_41.cal"</f>
        <v>C:\TOC3201\CalCurves\Itamar\N_cal_25ppm_acid_laurel.2019_08_15_12_20_41.cal</v>
      </c>
      <c r="G323">
        <v>1</v>
      </c>
      <c r="H323" t="str">
        <f>""</f>
        <v/>
      </c>
      <c r="I323" t="str">
        <f>"8/16/2019 1:41:50 AM"</f>
        <v>8/16/2019 1:41:50 AM</v>
      </c>
      <c r="J323" t="str">
        <f>"1"</f>
        <v>1</v>
      </c>
      <c r="K323" t="str">
        <f>"2"</f>
        <v>2</v>
      </c>
      <c r="L323" t="str">
        <f>"TN"</f>
        <v>TN</v>
      </c>
      <c r="M323" t="str">
        <f>"0.4773"</f>
        <v>0.4773</v>
      </c>
      <c r="N323" t="str">
        <f>"0.2825"</f>
        <v>0.2825</v>
      </c>
      <c r="O323" t="str">
        <f>"NPOC:2.847mg/L TN:0.1609mg/L"</f>
        <v>NPOC:2.847mg/L TN:0.1609mg/L</v>
      </c>
      <c r="P323">
        <v>1</v>
      </c>
      <c r="Q323" t="str">
        <f>"80"</f>
        <v>80</v>
      </c>
    </row>
    <row r="324" spans="1:17" x14ac:dyDescent="0.2">
      <c r="A324" t="str">
        <f>"Unknown"</f>
        <v>Unknown</v>
      </c>
      <c r="B324" t="str">
        <f>"NPOC/TN"</f>
        <v>NPOC/TN</v>
      </c>
      <c r="C324" t="str">
        <f>"1097"</f>
        <v>1097</v>
      </c>
      <c r="D324" t="str">
        <f>"27"</f>
        <v>27</v>
      </c>
      <c r="E324" t="str">
        <f>"C:\TOC3201\Methods\Itamar\acid_sample.met"</f>
        <v>C:\TOC3201\Methods\Itamar\acid_sample.met</v>
      </c>
      <c r="F324" t="str">
        <f>"C:\TOC3201\CalCurves\Itamar\N_cal_25ppm_acid_laurel.2019_08_15_12_20_41.cal"</f>
        <v>C:\TOC3201\CalCurves\Itamar\N_cal_25ppm_acid_laurel.2019_08_15_12_20_41.cal</v>
      </c>
      <c r="G324">
        <v>1</v>
      </c>
      <c r="H324" t="str">
        <f>""</f>
        <v/>
      </c>
      <c r="I324" t="str">
        <f>"8/16/2019 1:44:49 AM"</f>
        <v>8/16/2019 1:44:49 AM</v>
      </c>
      <c r="J324" t="str">
        <f>"1"</f>
        <v>1</v>
      </c>
      <c r="K324" t="str">
        <f>"3"</f>
        <v>3</v>
      </c>
      <c r="L324" t="str">
        <f>"TN"</f>
        <v>TN</v>
      </c>
      <c r="M324" t="str">
        <f>"0.000"</f>
        <v>0.000</v>
      </c>
      <c r="N324" t="str">
        <f>"0.1609"</f>
        <v>0.1609</v>
      </c>
      <c r="O324" t="str">
        <f>"NPOC:2.847mg/L TN:0.1609mg/L"</f>
        <v>NPOC:2.847mg/L TN:0.1609mg/L</v>
      </c>
      <c r="P324">
        <v>0</v>
      </c>
      <c r="Q324" t="str">
        <f>"80"</f>
        <v>80</v>
      </c>
    </row>
    <row r="325" spans="1:17" x14ac:dyDescent="0.2">
      <c r="A325" t="str">
        <f>"Unknown"</f>
        <v>Unknown</v>
      </c>
      <c r="B325" t="str">
        <f>"NPOC/TN"</f>
        <v>NPOC/TN</v>
      </c>
      <c r="C325" t="str">
        <f>"1097"</f>
        <v>1097</v>
      </c>
      <c r="D325" t="str">
        <f>"27"</f>
        <v>27</v>
      </c>
      <c r="E325" t="str">
        <f>"C:\TOC3201\Methods\Itamar\acid_sample.met"</f>
        <v>C:\TOC3201\Methods\Itamar\acid_sample.met</v>
      </c>
      <c r="F325" t="str">
        <f>"C:\TOC3201\CalCurves\Itamar\N_cal_25ppm_acid_laurel.2019_08_15_12_20_41.cal"</f>
        <v>C:\TOC3201\CalCurves\Itamar\N_cal_25ppm_acid_laurel.2019_08_15_12_20_41.cal</v>
      </c>
      <c r="G325">
        <v>1</v>
      </c>
      <c r="H325" t="str">
        <f>""</f>
        <v/>
      </c>
      <c r="I325" t="str">
        <f>"8/16/2019 1:47:46 AM"</f>
        <v>8/16/2019 1:47:46 AM</v>
      </c>
      <c r="J325" t="str">
        <f>"1"</f>
        <v>1</v>
      </c>
      <c r="K325" t="str">
        <f>"4"</f>
        <v>4</v>
      </c>
      <c r="L325" t="str">
        <f>"TN"</f>
        <v>TN</v>
      </c>
      <c r="M325" t="str">
        <f>"0.000"</f>
        <v>0.000</v>
      </c>
      <c r="N325" t="str">
        <f>"0.1609"</f>
        <v>0.1609</v>
      </c>
      <c r="O325" t="str">
        <f>"NPOC:2.847mg/L TN:0.1609mg/L"</f>
        <v>NPOC:2.847mg/L TN:0.1609mg/L</v>
      </c>
      <c r="P325">
        <v>0</v>
      </c>
      <c r="Q325" t="str">
        <f>"80"</f>
        <v>80</v>
      </c>
    </row>
    <row r="326" spans="1:17" x14ac:dyDescent="0.2">
      <c r="A326" t="str">
        <f>"Unknown"</f>
        <v>Unknown</v>
      </c>
      <c r="B326" t="str">
        <f>"NPOC/TN"</f>
        <v>NPOC/TN</v>
      </c>
      <c r="C326" t="str">
        <f>"1099"</f>
        <v>1099</v>
      </c>
      <c r="D326" t="str">
        <f>"28"</f>
        <v>28</v>
      </c>
      <c r="E326" t="str">
        <f>"C:\TOC3201\Methods\Itamar\acid_sample.met"</f>
        <v>C:\TOC3201\Methods\Itamar\acid_sample.met</v>
      </c>
      <c r="F326" t="str">
        <f>"C:\TOC3201\CalCurves\Itamar\C_cal_100ppm_acid_laurel.2019_08_15_10_24_40.cal"</f>
        <v>C:\TOC3201\CalCurves\Itamar\C_cal_100ppm_acid_laurel.2019_08_15_10_24_40.cal</v>
      </c>
      <c r="G326">
        <v>1</v>
      </c>
      <c r="H326" t="str">
        <f>""</f>
        <v/>
      </c>
      <c r="I326" t="str">
        <f>"8/16/2019 1:57:33 AM"</f>
        <v>8/16/2019 1:57:33 AM</v>
      </c>
      <c r="J326" t="str">
        <f>"1"</f>
        <v>1</v>
      </c>
      <c r="K326" t="str">
        <f>"1"</f>
        <v>1</v>
      </c>
      <c r="L326" t="str">
        <f>"NPOC"</f>
        <v>NPOC</v>
      </c>
      <c r="M326" t="str">
        <f>"20.57"</f>
        <v>20.57</v>
      </c>
      <c r="N326" t="str">
        <f>"4.284"</f>
        <v>4.284</v>
      </c>
      <c r="O326" t="str">
        <f>"NPOC:4.341mg/L TN:3.244mg/L"</f>
        <v>NPOC:4.341mg/L TN:3.244mg/L</v>
      </c>
      <c r="P326">
        <v>0</v>
      </c>
      <c r="Q326" t="str">
        <f>"80"</f>
        <v>80</v>
      </c>
    </row>
    <row r="327" spans="1:17" x14ac:dyDescent="0.2">
      <c r="A327" t="str">
        <f>"Unknown"</f>
        <v>Unknown</v>
      </c>
      <c r="B327" t="str">
        <f>"NPOC/TN"</f>
        <v>NPOC/TN</v>
      </c>
      <c r="C327" t="str">
        <f>"1099"</f>
        <v>1099</v>
      </c>
      <c r="D327" t="str">
        <f>"28"</f>
        <v>28</v>
      </c>
      <c r="E327" t="str">
        <f>"C:\TOC3201\Methods\Itamar\acid_sample.met"</f>
        <v>C:\TOC3201\Methods\Itamar\acid_sample.met</v>
      </c>
      <c r="F327" t="str">
        <f>"C:\TOC3201\CalCurves\Itamar\C_cal_100ppm_acid_laurel.2019_08_15_10_24_40.cal"</f>
        <v>C:\TOC3201\CalCurves\Itamar\C_cal_100ppm_acid_laurel.2019_08_15_10_24_40.cal</v>
      </c>
      <c r="G327">
        <v>1</v>
      </c>
      <c r="H327" t="str">
        <f>""</f>
        <v/>
      </c>
      <c r="I327" t="str">
        <f>"8/16/2019 2:00:52 AM"</f>
        <v>8/16/2019 2:00:52 AM</v>
      </c>
      <c r="J327" t="str">
        <f>"1"</f>
        <v>1</v>
      </c>
      <c r="K327" t="str">
        <f>"2"</f>
        <v>2</v>
      </c>
      <c r="L327" t="str">
        <f>"NPOC"</f>
        <v>NPOC</v>
      </c>
      <c r="M327" t="str">
        <f>"20.69"</f>
        <v>20.69</v>
      </c>
      <c r="N327" t="str">
        <f>"4.309"</f>
        <v>4.309</v>
      </c>
      <c r="O327" t="str">
        <f>"NPOC:4.341mg/L TN:3.244mg/L"</f>
        <v>NPOC:4.341mg/L TN:3.244mg/L</v>
      </c>
      <c r="P327">
        <v>0</v>
      </c>
      <c r="Q327" t="str">
        <f>"80"</f>
        <v>80</v>
      </c>
    </row>
    <row r="328" spans="1:17" x14ac:dyDescent="0.2">
      <c r="A328" t="str">
        <f>"Unknown"</f>
        <v>Unknown</v>
      </c>
      <c r="B328" t="str">
        <f>"NPOC/TN"</f>
        <v>NPOC/TN</v>
      </c>
      <c r="C328" t="str">
        <f>"1099"</f>
        <v>1099</v>
      </c>
      <c r="D328" t="str">
        <f>"28"</f>
        <v>28</v>
      </c>
      <c r="E328" t="str">
        <f>"C:\TOC3201\Methods\Itamar\acid_sample.met"</f>
        <v>C:\TOC3201\Methods\Itamar\acid_sample.met</v>
      </c>
      <c r="F328" t="str">
        <f>"C:\TOC3201\CalCurves\Itamar\C_cal_100ppm_acid_laurel.2019_08_15_10_24_40.cal"</f>
        <v>C:\TOC3201\CalCurves\Itamar\C_cal_100ppm_acid_laurel.2019_08_15_10_24_40.cal</v>
      </c>
      <c r="G328">
        <v>1</v>
      </c>
      <c r="H328" t="str">
        <f>""</f>
        <v/>
      </c>
      <c r="I328" t="str">
        <f>"8/16/2019 2:03:59 AM"</f>
        <v>8/16/2019 2:03:59 AM</v>
      </c>
      <c r="J328" t="str">
        <f>"1"</f>
        <v>1</v>
      </c>
      <c r="K328" t="str">
        <f>"3"</f>
        <v>3</v>
      </c>
      <c r="L328" t="str">
        <f>"NPOC"</f>
        <v>NPOC</v>
      </c>
      <c r="M328" t="str">
        <f>"21.28"</f>
        <v>21.28</v>
      </c>
      <c r="N328" t="str">
        <f>"4.430"</f>
        <v>4.430</v>
      </c>
      <c r="O328" t="str">
        <f>"NPOC:4.341mg/L TN:3.244mg/L"</f>
        <v>NPOC:4.341mg/L TN:3.244mg/L</v>
      </c>
      <c r="P328">
        <v>0</v>
      </c>
      <c r="Q328" t="str">
        <f>"80"</f>
        <v>80</v>
      </c>
    </row>
    <row r="329" spans="1:17" x14ac:dyDescent="0.2">
      <c r="A329" t="str">
        <f>"Unknown"</f>
        <v>Unknown</v>
      </c>
      <c r="B329" t="str">
        <f>"NPOC/TN"</f>
        <v>NPOC/TN</v>
      </c>
      <c r="C329" t="str">
        <f>"1099"</f>
        <v>1099</v>
      </c>
      <c r="D329" t="str">
        <f>"28"</f>
        <v>28</v>
      </c>
      <c r="E329" t="str">
        <f>"C:\TOC3201\Methods\Itamar\acid_sample.met"</f>
        <v>C:\TOC3201\Methods\Itamar\acid_sample.met</v>
      </c>
      <c r="F329" t="str">
        <f>"C:\TOC3201\CalCurves\Itamar\N_cal_25ppm_acid_laurel.2019_08_15_12_20_41.cal"</f>
        <v>C:\TOC3201\CalCurves\Itamar\N_cal_25ppm_acid_laurel.2019_08_15_12_20_41.cal</v>
      </c>
      <c r="G329">
        <v>1</v>
      </c>
      <c r="H329" t="str">
        <f>""</f>
        <v/>
      </c>
      <c r="I329" t="str">
        <f>"8/16/2019 1:57:33 AM"</f>
        <v>8/16/2019 1:57:33 AM</v>
      </c>
      <c r="J329" t="str">
        <f>"1"</f>
        <v>1</v>
      </c>
      <c r="K329" t="str">
        <f>"1"</f>
        <v>1</v>
      </c>
      <c r="L329" t="str">
        <f>"TN"</f>
        <v>TN</v>
      </c>
      <c r="M329" t="str">
        <f>"11.95"</f>
        <v>11.95</v>
      </c>
      <c r="N329" t="str">
        <f>"3.206"</f>
        <v>3.206</v>
      </c>
      <c r="O329" t="str">
        <f>"NPOC:4.341mg/L TN:3.244mg/L"</f>
        <v>NPOC:4.341mg/L TN:3.244mg/L</v>
      </c>
      <c r="P329">
        <v>0</v>
      </c>
      <c r="Q329" t="str">
        <f>"80"</f>
        <v>80</v>
      </c>
    </row>
    <row r="330" spans="1:17" x14ac:dyDescent="0.2">
      <c r="A330" t="str">
        <f>"Unknown"</f>
        <v>Unknown</v>
      </c>
      <c r="B330" t="str">
        <f>"NPOC/TN"</f>
        <v>NPOC/TN</v>
      </c>
      <c r="C330" t="str">
        <f>"1099"</f>
        <v>1099</v>
      </c>
      <c r="D330" t="str">
        <f>"28"</f>
        <v>28</v>
      </c>
      <c r="E330" t="str">
        <f>"C:\TOC3201\Methods\Itamar\acid_sample.met"</f>
        <v>C:\TOC3201\Methods\Itamar\acid_sample.met</v>
      </c>
      <c r="F330" t="str">
        <f>"C:\TOC3201\CalCurves\Itamar\N_cal_25ppm_acid_laurel.2019_08_15_12_20_41.cal"</f>
        <v>C:\TOC3201\CalCurves\Itamar\N_cal_25ppm_acid_laurel.2019_08_15_12_20_41.cal</v>
      </c>
      <c r="G330">
        <v>1</v>
      </c>
      <c r="H330" t="str">
        <f>""</f>
        <v/>
      </c>
      <c r="I330" t="str">
        <f>"8/16/2019 2:00:52 AM"</f>
        <v>8/16/2019 2:00:52 AM</v>
      </c>
      <c r="J330" t="str">
        <f>"1"</f>
        <v>1</v>
      </c>
      <c r="K330" t="str">
        <f>"2"</f>
        <v>2</v>
      </c>
      <c r="L330" t="str">
        <f>"TN"</f>
        <v>TN</v>
      </c>
      <c r="M330" t="str">
        <f>"12.04"</f>
        <v>12.04</v>
      </c>
      <c r="N330" t="str">
        <f>"3.229"</f>
        <v>3.229</v>
      </c>
      <c r="O330" t="str">
        <f>"NPOC:4.341mg/L TN:3.244mg/L"</f>
        <v>NPOC:4.341mg/L TN:3.244mg/L</v>
      </c>
      <c r="P330">
        <v>0</v>
      </c>
      <c r="Q330" t="str">
        <f>"80"</f>
        <v>80</v>
      </c>
    </row>
    <row r="331" spans="1:17" x14ac:dyDescent="0.2">
      <c r="A331" t="str">
        <f>"Unknown"</f>
        <v>Unknown</v>
      </c>
      <c r="B331" t="str">
        <f>"NPOC/TN"</f>
        <v>NPOC/TN</v>
      </c>
      <c r="C331" t="str">
        <f>"1099"</f>
        <v>1099</v>
      </c>
      <c r="D331" t="str">
        <f>"28"</f>
        <v>28</v>
      </c>
      <c r="E331" t="str">
        <f>"C:\TOC3201\Methods\Itamar\acid_sample.met"</f>
        <v>C:\TOC3201\Methods\Itamar\acid_sample.met</v>
      </c>
      <c r="F331" t="str">
        <f>"C:\TOC3201\CalCurves\Itamar\N_cal_25ppm_acid_laurel.2019_08_15_12_20_41.cal"</f>
        <v>C:\TOC3201\CalCurves\Itamar\N_cal_25ppm_acid_laurel.2019_08_15_12_20_41.cal</v>
      </c>
      <c r="G331">
        <v>1</v>
      </c>
      <c r="H331" t="str">
        <f>""</f>
        <v/>
      </c>
      <c r="I331" t="str">
        <f>"8/16/2019 2:03:59 AM"</f>
        <v>8/16/2019 2:03:59 AM</v>
      </c>
      <c r="J331" t="str">
        <f>"1"</f>
        <v>1</v>
      </c>
      <c r="K331" t="str">
        <f>"3"</f>
        <v>3</v>
      </c>
      <c r="L331" t="str">
        <f>"TN"</f>
        <v>TN</v>
      </c>
      <c r="M331" t="str">
        <f>"12.31"</f>
        <v>12.31</v>
      </c>
      <c r="N331" t="str">
        <f>"3.297"</f>
        <v>3.297</v>
      </c>
      <c r="O331" t="str">
        <f>"NPOC:4.341mg/L TN:3.244mg/L"</f>
        <v>NPOC:4.341mg/L TN:3.244mg/L</v>
      </c>
      <c r="P331">
        <v>0</v>
      </c>
      <c r="Q331" t="str">
        <f>"80"</f>
        <v>80</v>
      </c>
    </row>
    <row r="332" spans="1:17" x14ac:dyDescent="0.2">
      <c r="A332" t="str">
        <f>"Unknown"</f>
        <v>Unknown</v>
      </c>
      <c r="B332" t="str">
        <f>"NPOC/TN"</f>
        <v>NPOC/TN</v>
      </c>
      <c r="C332" t="str">
        <f>"1101"</f>
        <v>1101</v>
      </c>
      <c r="D332" t="str">
        <f>"29"</f>
        <v>29</v>
      </c>
      <c r="E332" t="str">
        <f>"C:\TOC3201\Methods\Itamar\acid_sample.met"</f>
        <v>C:\TOC3201\Methods\Itamar\acid_sample.met</v>
      </c>
      <c r="F332" t="str">
        <f>"C:\TOC3201\CalCurves\Itamar\C_cal_100ppm_acid_laurel.2019_08_15_10_24_40.cal"</f>
        <v>C:\TOC3201\CalCurves\Itamar\C_cal_100ppm_acid_laurel.2019_08_15_10_24_40.cal</v>
      </c>
      <c r="G332">
        <v>1</v>
      </c>
      <c r="H332" t="str">
        <f>""</f>
        <v/>
      </c>
      <c r="I332" t="str">
        <f>"8/16/2019 2:13:56 AM"</f>
        <v>8/16/2019 2:13:56 AM</v>
      </c>
      <c r="J332" t="str">
        <f>"1"</f>
        <v>1</v>
      </c>
      <c r="K332" t="str">
        <f>"1"</f>
        <v>1</v>
      </c>
      <c r="L332" t="str">
        <f>"NPOC"</f>
        <v>NPOC</v>
      </c>
      <c r="M332" t="str">
        <f>"25.13"</f>
        <v>25.13</v>
      </c>
      <c r="N332" t="str">
        <f>"5.220"</f>
        <v>5.220</v>
      </c>
      <c r="O332" t="str">
        <f>"NPOC:4.628mg/L TN:3.503mg/L"</f>
        <v>NPOC:4.628mg/L TN:3.503mg/L</v>
      </c>
      <c r="P332">
        <v>1</v>
      </c>
      <c r="Q332" t="str">
        <f>"80"</f>
        <v>80</v>
      </c>
    </row>
    <row r="333" spans="1:17" x14ac:dyDescent="0.2">
      <c r="A333" t="str">
        <f>"Unknown"</f>
        <v>Unknown</v>
      </c>
      <c r="B333" t="str">
        <f>"NPOC/TN"</f>
        <v>NPOC/TN</v>
      </c>
      <c r="C333" t="str">
        <f>"1101"</f>
        <v>1101</v>
      </c>
      <c r="D333" t="str">
        <f>"29"</f>
        <v>29</v>
      </c>
      <c r="E333" t="str">
        <f>"C:\TOC3201\Methods\Itamar\acid_sample.met"</f>
        <v>C:\TOC3201\Methods\Itamar\acid_sample.met</v>
      </c>
      <c r="F333" t="str">
        <f>"C:\TOC3201\CalCurves\Itamar\C_cal_100ppm_acid_laurel.2019_08_15_10_24_40.cal"</f>
        <v>C:\TOC3201\CalCurves\Itamar\C_cal_100ppm_acid_laurel.2019_08_15_10_24_40.cal</v>
      </c>
      <c r="G333">
        <v>1</v>
      </c>
      <c r="H333" t="str">
        <f>""</f>
        <v/>
      </c>
      <c r="I333" t="str">
        <f>"8/16/2019 2:17:03 AM"</f>
        <v>8/16/2019 2:17:03 AM</v>
      </c>
      <c r="J333" t="str">
        <f>"1"</f>
        <v>1</v>
      </c>
      <c r="K333" t="str">
        <f>"2"</f>
        <v>2</v>
      </c>
      <c r="L333" t="str">
        <f>"NPOC"</f>
        <v>NPOC</v>
      </c>
      <c r="M333" t="str">
        <f>"21.81"</f>
        <v>21.81</v>
      </c>
      <c r="N333" t="str">
        <f>"4.539"</f>
        <v>4.539</v>
      </c>
      <c r="O333" t="str">
        <f>"NPOC:4.628mg/L TN:3.503mg/L"</f>
        <v>NPOC:4.628mg/L TN:3.503mg/L</v>
      </c>
      <c r="P333">
        <v>0</v>
      </c>
      <c r="Q333" t="str">
        <f>"80"</f>
        <v>80</v>
      </c>
    </row>
    <row r="334" spans="1:17" x14ac:dyDescent="0.2">
      <c r="A334" t="str">
        <f>"Unknown"</f>
        <v>Unknown</v>
      </c>
      <c r="B334" t="str">
        <f>"NPOC/TN"</f>
        <v>NPOC/TN</v>
      </c>
      <c r="C334" t="str">
        <f>"1101"</f>
        <v>1101</v>
      </c>
      <c r="D334" t="str">
        <f>"29"</f>
        <v>29</v>
      </c>
      <c r="E334" t="str">
        <f>"C:\TOC3201\Methods\Itamar\acid_sample.met"</f>
        <v>C:\TOC3201\Methods\Itamar\acid_sample.met</v>
      </c>
      <c r="F334" t="str">
        <f>"C:\TOC3201\CalCurves\Itamar\C_cal_100ppm_acid_laurel.2019_08_15_10_24_40.cal"</f>
        <v>C:\TOC3201\CalCurves\Itamar\C_cal_100ppm_acid_laurel.2019_08_15_10_24_40.cal</v>
      </c>
      <c r="G334">
        <v>1</v>
      </c>
      <c r="H334" t="str">
        <f>""</f>
        <v/>
      </c>
      <c r="I334" t="str">
        <f>"8/16/2019 2:20:17 AM"</f>
        <v>8/16/2019 2:20:17 AM</v>
      </c>
      <c r="J334" t="str">
        <f>"1"</f>
        <v>1</v>
      </c>
      <c r="K334" t="str">
        <f>"3"</f>
        <v>3</v>
      </c>
      <c r="L334" t="str">
        <f>"NPOC"</f>
        <v>NPOC</v>
      </c>
      <c r="M334" t="str">
        <f>"23.24"</f>
        <v>23.24</v>
      </c>
      <c r="N334" t="str">
        <f>"4.832"</f>
        <v>4.832</v>
      </c>
      <c r="O334" t="str">
        <f>"NPOC:4.628mg/L TN:3.503mg/L"</f>
        <v>NPOC:4.628mg/L TN:3.503mg/L</v>
      </c>
      <c r="P334">
        <v>0</v>
      </c>
      <c r="Q334" t="str">
        <f>"80"</f>
        <v>80</v>
      </c>
    </row>
    <row r="335" spans="1:17" x14ac:dyDescent="0.2">
      <c r="A335" t="str">
        <f>"Unknown"</f>
        <v>Unknown</v>
      </c>
      <c r="B335" t="str">
        <f>"NPOC/TN"</f>
        <v>NPOC/TN</v>
      </c>
      <c r="C335" t="str">
        <f>"1101"</f>
        <v>1101</v>
      </c>
      <c r="D335" t="str">
        <f>"29"</f>
        <v>29</v>
      </c>
      <c r="E335" t="str">
        <f>"C:\TOC3201\Methods\Itamar\acid_sample.met"</f>
        <v>C:\TOC3201\Methods\Itamar\acid_sample.met</v>
      </c>
      <c r="F335" t="str">
        <f>"C:\TOC3201\CalCurves\Itamar\C_cal_100ppm_acid_laurel.2019_08_15_10_24_40.cal"</f>
        <v>C:\TOC3201\CalCurves\Itamar\C_cal_100ppm_acid_laurel.2019_08_15_10_24_40.cal</v>
      </c>
      <c r="G335">
        <v>1</v>
      </c>
      <c r="H335" t="str">
        <f>""</f>
        <v/>
      </c>
      <c r="I335" t="str">
        <f>"8/16/2019 2:23:30 AM"</f>
        <v>8/16/2019 2:23:30 AM</v>
      </c>
      <c r="J335" t="str">
        <f>"1"</f>
        <v>1</v>
      </c>
      <c r="K335" t="str">
        <f>"4"</f>
        <v>4</v>
      </c>
      <c r="L335" t="str">
        <f>"NPOC"</f>
        <v>NPOC</v>
      </c>
      <c r="M335" t="str">
        <f>"23.74"</f>
        <v>23.74</v>
      </c>
      <c r="N335" t="str">
        <f>"4.935"</f>
        <v>4.935</v>
      </c>
      <c r="O335" t="str">
        <f>"NPOC:4.628mg/L TN:3.503mg/L"</f>
        <v>NPOC:4.628mg/L TN:3.503mg/L</v>
      </c>
      <c r="P335">
        <v>1</v>
      </c>
      <c r="Q335" t="str">
        <f>"80"</f>
        <v>80</v>
      </c>
    </row>
    <row r="336" spans="1:17" x14ac:dyDescent="0.2">
      <c r="A336" t="str">
        <f>"Unknown"</f>
        <v>Unknown</v>
      </c>
      <c r="B336" t="str">
        <f>"NPOC/TN"</f>
        <v>NPOC/TN</v>
      </c>
      <c r="C336" t="str">
        <f>"1101"</f>
        <v>1101</v>
      </c>
      <c r="D336" t="str">
        <f>"29"</f>
        <v>29</v>
      </c>
      <c r="E336" t="str">
        <f>"C:\TOC3201\Methods\Itamar\acid_sample.met"</f>
        <v>C:\TOC3201\Methods\Itamar\acid_sample.met</v>
      </c>
      <c r="F336" t="str">
        <f>"C:\TOC3201\CalCurves\Itamar\C_cal_100ppm_acid_laurel.2019_08_15_10_24_40.cal"</f>
        <v>C:\TOC3201\CalCurves\Itamar\C_cal_100ppm_acid_laurel.2019_08_15_10_24_40.cal</v>
      </c>
      <c r="G336">
        <v>1</v>
      </c>
      <c r="H336" t="str">
        <f>""</f>
        <v/>
      </c>
      <c r="I336" t="str">
        <f>"8/16/2019 2:26:39 AM"</f>
        <v>8/16/2019 2:26:39 AM</v>
      </c>
      <c r="J336" t="str">
        <f>"1"</f>
        <v>1</v>
      </c>
      <c r="K336" t="str">
        <f>"5"</f>
        <v>5</v>
      </c>
      <c r="L336" t="str">
        <f>"NPOC"</f>
        <v>NPOC</v>
      </c>
      <c r="M336" t="str">
        <f>"21.69"</f>
        <v>21.69</v>
      </c>
      <c r="N336" t="str">
        <f>"4.514"</f>
        <v>4.514</v>
      </c>
      <c r="O336" t="str">
        <f>"NPOC:4.628mg/L TN:3.503mg/L"</f>
        <v>NPOC:4.628mg/L TN:3.503mg/L</v>
      </c>
      <c r="P336">
        <v>0</v>
      </c>
      <c r="Q336" t="str">
        <f>"80"</f>
        <v>80</v>
      </c>
    </row>
    <row r="337" spans="1:17" x14ac:dyDescent="0.2">
      <c r="A337" t="str">
        <f>"Unknown"</f>
        <v>Unknown</v>
      </c>
      <c r="B337" t="str">
        <f>"NPOC/TN"</f>
        <v>NPOC/TN</v>
      </c>
      <c r="C337" t="str">
        <f>"1101"</f>
        <v>1101</v>
      </c>
      <c r="D337" t="str">
        <f>"29"</f>
        <v>29</v>
      </c>
      <c r="E337" t="str">
        <f>"C:\TOC3201\Methods\Itamar\acid_sample.met"</f>
        <v>C:\TOC3201\Methods\Itamar\acid_sample.met</v>
      </c>
      <c r="F337" t="str">
        <f>"C:\TOC3201\CalCurves\Itamar\N_cal_25ppm_acid_laurel.2019_08_15_12_20_41.cal"</f>
        <v>C:\TOC3201\CalCurves\Itamar\N_cal_25ppm_acid_laurel.2019_08_15_12_20_41.cal</v>
      </c>
      <c r="G337">
        <v>1</v>
      </c>
      <c r="H337" t="str">
        <f>""</f>
        <v/>
      </c>
      <c r="I337" t="str">
        <f>"8/16/2019 2:13:56 AM"</f>
        <v>8/16/2019 2:13:56 AM</v>
      </c>
      <c r="J337" t="str">
        <f>"1"</f>
        <v>1</v>
      </c>
      <c r="K337" t="str">
        <f>"1"</f>
        <v>1</v>
      </c>
      <c r="L337" t="str">
        <f>"TN"</f>
        <v>TN</v>
      </c>
      <c r="M337" t="str">
        <f>"12.51"</f>
        <v>12.51</v>
      </c>
      <c r="N337" t="str">
        <f>"3.348"</f>
        <v>3.348</v>
      </c>
      <c r="O337" t="str">
        <f>"NPOC:4.628mg/L TN:3.503mg/L"</f>
        <v>NPOC:4.628mg/L TN:3.503mg/L</v>
      </c>
      <c r="P337">
        <v>1</v>
      </c>
      <c r="Q337" t="str">
        <f>"80"</f>
        <v>80</v>
      </c>
    </row>
    <row r="338" spans="1:17" x14ac:dyDescent="0.2">
      <c r="A338" t="str">
        <f>"Unknown"</f>
        <v>Unknown</v>
      </c>
      <c r="B338" t="str">
        <f>"NPOC/TN"</f>
        <v>NPOC/TN</v>
      </c>
      <c r="C338" t="str">
        <f>"1101"</f>
        <v>1101</v>
      </c>
      <c r="D338" t="str">
        <f>"29"</f>
        <v>29</v>
      </c>
      <c r="E338" t="str">
        <f>"C:\TOC3201\Methods\Itamar\acid_sample.met"</f>
        <v>C:\TOC3201\Methods\Itamar\acid_sample.met</v>
      </c>
      <c r="F338" t="str">
        <f>"C:\TOC3201\CalCurves\Itamar\N_cal_25ppm_acid_laurel.2019_08_15_12_20_41.cal"</f>
        <v>C:\TOC3201\CalCurves\Itamar\N_cal_25ppm_acid_laurel.2019_08_15_12_20_41.cal</v>
      </c>
      <c r="G338">
        <v>1</v>
      </c>
      <c r="H338" t="str">
        <f>""</f>
        <v/>
      </c>
      <c r="I338" t="str">
        <f>"8/16/2019 2:17:03 AM"</f>
        <v>8/16/2019 2:17:03 AM</v>
      </c>
      <c r="J338" t="str">
        <f>"1"</f>
        <v>1</v>
      </c>
      <c r="K338" t="str">
        <f>"2"</f>
        <v>2</v>
      </c>
      <c r="L338" t="str">
        <f>"TN"</f>
        <v>TN</v>
      </c>
      <c r="M338" t="str">
        <f>"14.37"</f>
        <v>14.37</v>
      </c>
      <c r="N338" t="str">
        <f>"3.822"</f>
        <v>3.822</v>
      </c>
      <c r="O338" t="str">
        <f>"NPOC:4.628mg/L TN:3.503mg/L"</f>
        <v>NPOC:4.628mg/L TN:3.503mg/L</v>
      </c>
      <c r="P338">
        <v>1</v>
      </c>
      <c r="Q338" t="str">
        <f>"80"</f>
        <v>80</v>
      </c>
    </row>
    <row r="339" spans="1:17" x14ac:dyDescent="0.2">
      <c r="A339" t="str">
        <f>"Unknown"</f>
        <v>Unknown</v>
      </c>
      <c r="B339" t="str">
        <f>"NPOC/TN"</f>
        <v>NPOC/TN</v>
      </c>
      <c r="C339" t="str">
        <f>"1101"</f>
        <v>1101</v>
      </c>
      <c r="D339" t="str">
        <f>"29"</f>
        <v>29</v>
      </c>
      <c r="E339" t="str">
        <f>"C:\TOC3201\Methods\Itamar\acid_sample.met"</f>
        <v>C:\TOC3201\Methods\Itamar\acid_sample.met</v>
      </c>
      <c r="F339" t="str">
        <f>"C:\TOC3201\CalCurves\Itamar\N_cal_25ppm_acid_laurel.2019_08_15_12_20_41.cal"</f>
        <v>C:\TOC3201\CalCurves\Itamar\N_cal_25ppm_acid_laurel.2019_08_15_12_20_41.cal</v>
      </c>
      <c r="G339">
        <v>1</v>
      </c>
      <c r="H339" t="str">
        <f>""</f>
        <v/>
      </c>
      <c r="I339" t="str">
        <f>"8/16/2019 2:20:17 AM"</f>
        <v>8/16/2019 2:20:17 AM</v>
      </c>
      <c r="J339" t="str">
        <f>"1"</f>
        <v>1</v>
      </c>
      <c r="K339" t="str">
        <f>"3"</f>
        <v>3</v>
      </c>
      <c r="L339" t="str">
        <f>"TN"</f>
        <v>TN</v>
      </c>
      <c r="M339" t="str">
        <f>"13.41"</f>
        <v>13.41</v>
      </c>
      <c r="N339" t="str">
        <f>"3.578"</f>
        <v>3.578</v>
      </c>
      <c r="O339" t="str">
        <f>"NPOC:4.628mg/L TN:3.503mg/L"</f>
        <v>NPOC:4.628mg/L TN:3.503mg/L</v>
      </c>
      <c r="P339">
        <v>0</v>
      </c>
      <c r="Q339" t="str">
        <f>"80"</f>
        <v>80</v>
      </c>
    </row>
    <row r="340" spans="1:17" x14ac:dyDescent="0.2">
      <c r="A340" t="str">
        <f>"Unknown"</f>
        <v>Unknown</v>
      </c>
      <c r="B340" t="str">
        <f>"NPOC/TN"</f>
        <v>NPOC/TN</v>
      </c>
      <c r="C340" t="str">
        <f>"1101"</f>
        <v>1101</v>
      </c>
      <c r="D340" t="str">
        <f>"29"</f>
        <v>29</v>
      </c>
      <c r="E340" t="str">
        <f>"C:\TOC3201\Methods\Itamar\acid_sample.met"</f>
        <v>C:\TOC3201\Methods\Itamar\acid_sample.met</v>
      </c>
      <c r="F340" t="str">
        <f>"C:\TOC3201\CalCurves\Itamar\N_cal_25ppm_acid_laurel.2019_08_15_12_20_41.cal"</f>
        <v>C:\TOC3201\CalCurves\Itamar\N_cal_25ppm_acid_laurel.2019_08_15_12_20_41.cal</v>
      </c>
      <c r="G340">
        <v>1</v>
      </c>
      <c r="H340" t="str">
        <f>""</f>
        <v/>
      </c>
      <c r="I340" t="str">
        <f>"8/16/2019 2:23:30 AM"</f>
        <v>8/16/2019 2:23:30 AM</v>
      </c>
      <c r="J340" t="str">
        <f>"1"</f>
        <v>1</v>
      </c>
      <c r="K340" t="str">
        <f>"4"</f>
        <v>4</v>
      </c>
      <c r="L340" t="str">
        <f>"TN"</f>
        <v>TN</v>
      </c>
      <c r="M340" t="str">
        <f>"12.83"</f>
        <v>12.83</v>
      </c>
      <c r="N340" t="str">
        <f>"3.430"</f>
        <v>3.430</v>
      </c>
      <c r="O340" t="str">
        <f>"NPOC:4.628mg/L TN:3.503mg/L"</f>
        <v>NPOC:4.628mg/L TN:3.503mg/L</v>
      </c>
      <c r="P340">
        <v>0</v>
      </c>
      <c r="Q340" t="str">
        <f>"80"</f>
        <v>80</v>
      </c>
    </row>
    <row r="341" spans="1:17" x14ac:dyDescent="0.2">
      <c r="A341" t="str">
        <f>"Unknown"</f>
        <v>Unknown</v>
      </c>
      <c r="B341" t="str">
        <f>"NPOC/TN"</f>
        <v>NPOC/TN</v>
      </c>
      <c r="C341" t="str">
        <f>"1101"</f>
        <v>1101</v>
      </c>
      <c r="D341" t="str">
        <f>"29"</f>
        <v>29</v>
      </c>
      <c r="E341" t="str">
        <f>"C:\TOC3201\Methods\Itamar\acid_sample.met"</f>
        <v>C:\TOC3201\Methods\Itamar\acid_sample.met</v>
      </c>
      <c r="F341" t="str">
        <f>"C:\TOC3201\CalCurves\Itamar\N_cal_25ppm_acid_laurel.2019_08_15_12_20_41.cal"</f>
        <v>C:\TOC3201\CalCurves\Itamar\N_cal_25ppm_acid_laurel.2019_08_15_12_20_41.cal</v>
      </c>
      <c r="G341">
        <v>1</v>
      </c>
      <c r="H341" t="str">
        <f>""</f>
        <v/>
      </c>
      <c r="I341" t="str">
        <f>"8/16/2019 2:26:39 AM"</f>
        <v>8/16/2019 2:26:39 AM</v>
      </c>
      <c r="J341" t="str">
        <f>"1"</f>
        <v>1</v>
      </c>
      <c r="K341" t="str">
        <f>"5"</f>
        <v>5</v>
      </c>
      <c r="L341" t="str">
        <f>"TN"</f>
        <v>TN</v>
      </c>
      <c r="M341" t="str">
        <f>"13.11"</f>
        <v>13.11</v>
      </c>
      <c r="N341" t="str">
        <f>"3.501"</f>
        <v>3.501</v>
      </c>
      <c r="O341" t="str">
        <f>"NPOC:4.628mg/L TN:3.503mg/L"</f>
        <v>NPOC:4.628mg/L TN:3.503mg/L</v>
      </c>
      <c r="P341">
        <v>0</v>
      </c>
      <c r="Q341" t="str">
        <f>"80"</f>
        <v>80</v>
      </c>
    </row>
    <row r="342" spans="1:17" x14ac:dyDescent="0.2">
      <c r="A342" t="str">
        <f>"Unknown"</f>
        <v>Unknown</v>
      </c>
      <c r="B342" t="str">
        <f>"NPOC/TN"</f>
        <v>NPOC/TN</v>
      </c>
      <c r="C342" t="str">
        <f>"1103"</f>
        <v>1103</v>
      </c>
      <c r="D342" t="str">
        <f>"30"</f>
        <v>30</v>
      </c>
      <c r="E342" t="str">
        <f>"C:\TOC3201\Methods\Itamar\acid_sample.met"</f>
        <v>C:\TOC3201\Methods\Itamar\acid_sample.met</v>
      </c>
      <c r="F342" t="str">
        <f>"C:\TOC3201\CalCurves\Itamar\C_cal_100ppm_acid_laurel.2019_08_15_10_24_40.cal"</f>
        <v>C:\TOC3201\CalCurves\Itamar\C_cal_100ppm_acid_laurel.2019_08_15_10_24_40.cal</v>
      </c>
      <c r="G342">
        <v>1</v>
      </c>
      <c r="H342" t="str">
        <f>""</f>
        <v/>
      </c>
      <c r="I342" t="str">
        <f>"8/16/2019 2:36:24 AM"</f>
        <v>8/16/2019 2:36:24 AM</v>
      </c>
      <c r="J342" t="str">
        <f>"1"</f>
        <v>1</v>
      </c>
      <c r="K342" t="str">
        <f>"1"</f>
        <v>1</v>
      </c>
      <c r="L342" t="str">
        <f>"NPOC"</f>
        <v>NPOC</v>
      </c>
      <c r="M342" t="str">
        <f>"23.66"</f>
        <v>23.66</v>
      </c>
      <c r="N342" t="str">
        <f>"4.919"</f>
        <v>4.919</v>
      </c>
      <c r="O342" t="str">
        <f>"NPOC:5.008mg/L TN:3.452mg/L"</f>
        <v>NPOC:5.008mg/L TN:3.452mg/L</v>
      </c>
      <c r="P342">
        <v>0</v>
      </c>
      <c r="Q342" t="str">
        <f>"80"</f>
        <v>80</v>
      </c>
    </row>
    <row r="343" spans="1:17" x14ac:dyDescent="0.2">
      <c r="A343" t="str">
        <f>"Unknown"</f>
        <v>Unknown</v>
      </c>
      <c r="B343" t="str">
        <f>"NPOC/TN"</f>
        <v>NPOC/TN</v>
      </c>
      <c r="C343" t="str">
        <f>"1103"</f>
        <v>1103</v>
      </c>
      <c r="D343" t="str">
        <f>"30"</f>
        <v>30</v>
      </c>
      <c r="E343" t="str">
        <f>"C:\TOC3201\Methods\Itamar\acid_sample.met"</f>
        <v>C:\TOC3201\Methods\Itamar\acid_sample.met</v>
      </c>
      <c r="F343" t="str">
        <f>"C:\TOC3201\CalCurves\Itamar\C_cal_100ppm_acid_laurel.2019_08_15_10_24_40.cal"</f>
        <v>C:\TOC3201\CalCurves\Itamar\C_cal_100ppm_acid_laurel.2019_08_15_10_24_40.cal</v>
      </c>
      <c r="G343">
        <v>1</v>
      </c>
      <c r="H343" t="str">
        <f>""</f>
        <v/>
      </c>
      <c r="I343" t="str">
        <f>"8/16/2019 2:39:40 AM"</f>
        <v>8/16/2019 2:39:40 AM</v>
      </c>
      <c r="J343" t="str">
        <f>"1"</f>
        <v>1</v>
      </c>
      <c r="K343" t="str">
        <f>"2"</f>
        <v>2</v>
      </c>
      <c r="L343" t="str">
        <f>"NPOC"</f>
        <v>NPOC</v>
      </c>
      <c r="M343" t="str">
        <f>"23.10"</f>
        <v>23.10</v>
      </c>
      <c r="N343" t="str">
        <f>"4.804"</f>
        <v>4.804</v>
      </c>
      <c r="O343" t="str">
        <f>"NPOC:5.008mg/L TN:3.452mg/L"</f>
        <v>NPOC:5.008mg/L TN:3.452mg/L</v>
      </c>
      <c r="P343">
        <v>1</v>
      </c>
      <c r="Q343" t="str">
        <f>"80"</f>
        <v>80</v>
      </c>
    </row>
    <row r="344" spans="1:17" x14ac:dyDescent="0.2">
      <c r="A344" t="str">
        <f>"Unknown"</f>
        <v>Unknown</v>
      </c>
      <c r="B344" t="str">
        <f>"NPOC/TN"</f>
        <v>NPOC/TN</v>
      </c>
      <c r="C344" t="str">
        <f>"1103"</f>
        <v>1103</v>
      </c>
      <c r="D344" t="str">
        <f>"30"</f>
        <v>30</v>
      </c>
      <c r="E344" t="str">
        <f>"C:\TOC3201\Methods\Itamar\acid_sample.met"</f>
        <v>C:\TOC3201\Methods\Itamar\acid_sample.met</v>
      </c>
      <c r="F344" t="str">
        <f>"C:\TOC3201\CalCurves\Itamar\C_cal_100ppm_acid_laurel.2019_08_15_10_24_40.cal"</f>
        <v>C:\TOC3201\CalCurves\Itamar\C_cal_100ppm_acid_laurel.2019_08_15_10_24_40.cal</v>
      </c>
      <c r="G344">
        <v>1</v>
      </c>
      <c r="H344" t="str">
        <f>""</f>
        <v/>
      </c>
      <c r="I344" t="str">
        <f>"8/16/2019 2:42:53 AM"</f>
        <v>8/16/2019 2:42:53 AM</v>
      </c>
      <c r="J344" t="str">
        <f>"1"</f>
        <v>1</v>
      </c>
      <c r="K344" t="str">
        <f>"3"</f>
        <v>3</v>
      </c>
      <c r="L344" t="str">
        <f>"NPOC"</f>
        <v>NPOC</v>
      </c>
      <c r="M344" t="str">
        <f>"24.52"</f>
        <v>24.52</v>
      </c>
      <c r="N344" t="str">
        <f>"5.095"</f>
        <v>5.095</v>
      </c>
      <c r="O344" t="str">
        <f>"NPOC:5.008mg/L TN:3.452mg/L"</f>
        <v>NPOC:5.008mg/L TN:3.452mg/L</v>
      </c>
      <c r="P344">
        <v>0</v>
      </c>
      <c r="Q344" t="str">
        <f>"80"</f>
        <v>80</v>
      </c>
    </row>
    <row r="345" spans="1:17" x14ac:dyDescent="0.2">
      <c r="A345" t="str">
        <f>"Unknown"</f>
        <v>Unknown</v>
      </c>
      <c r="B345" t="str">
        <f>"NPOC/TN"</f>
        <v>NPOC/TN</v>
      </c>
      <c r="C345" t="str">
        <f>"1103"</f>
        <v>1103</v>
      </c>
      <c r="D345" t="str">
        <f>"30"</f>
        <v>30</v>
      </c>
      <c r="E345" t="str">
        <f>"C:\TOC3201\Methods\Itamar\acid_sample.met"</f>
        <v>C:\TOC3201\Methods\Itamar\acid_sample.met</v>
      </c>
      <c r="F345" t="str">
        <f>"C:\TOC3201\CalCurves\Itamar\C_cal_100ppm_acid_laurel.2019_08_15_10_24_40.cal"</f>
        <v>C:\TOC3201\CalCurves\Itamar\C_cal_100ppm_acid_laurel.2019_08_15_10_24_40.cal</v>
      </c>
      <c r="G345">
        <v>1</v>
      </c>
      <c r="H345" t="str">
        <f>""</f>
        <v/>
      </c>
      <c r="I345" t="str">
        <f>"8/16/2019 2:46:12 AM"</f>
        <v>8/16/2019 2:46:12 AM</v>
      </c>
      <c r="J345" t="str">
        <f>"1"</f>
        <v>1</v>
      </c>
      <c r="K345" t="str">
        <f>"4"</f>
        <v>4</v>
      </c>
      <c r="L345" t="str">
        <f>"NPOC"</f>
        <v>NPOC</v>
      </c>
      <c r="M345" t="str">
        <f>"24.11"</f>
        <v>24.11</v>
      </c>
      <c r="N345" t="str">
        <f>"5.011"</f>
        <v>5.011</v>
      </c>
      <c r="O345" t="str">
        <f>"NPOC:5.008mg/L TN:3.452mg/L"</f>
        <v>NPOC:5.008mg/L TN:3.452mg/L</v>
      </c>
      <c r="P345">
        <v>0</v>
      </c>
      <c r="Q345" t="str">
        <f>"80"</f>
        <v>80</v>
      </c>
    </row>
    <row r="346" spans="1:17" x14ac:dyDescent="0.2">
      <c r="A346" t="str">
        <f>"Unknown"</f>
        <v>Unknown</v>
      </c>
      <c r="B346" t="str">
        <f>"NPOC/TN"</f>
        <v>NPOC/TN</v>
      </c>
      <c r="C346" t="str">
        <f>"1103"</f>
        <v>1103</v>
      </c>
      <c r="D346" t="str">
        <f>"30"</f>
        <v>30</v>
      </c>
      <c r="E346" t="str">
        <f>"C:\TOC3201\Methods\Itamar\acid_sample.met"</f>
        <v>C:\TOC3201\Methods\Itamar\acid_sample.met</v>
      </c>
      <c r="F346" t="str">
        <f>"C:\TOC3201\CalCurves\Itamar\N_cal_25ppm_acid_laurel.2019_08_15_12_20_41.cal"</f>
        <v>C:\TOC3201\CalCurves\Itamar\N_cal_25ppm_acid_laurel.2019_08_15_12_20_41.cal</v>
      </c>
      <c r="G346">
        <v>1</v>
      </c>
      <c r="H346" t="str">
        <f>""</f>
        <v/>
      </c>
      <c r="I346" t="str">
        <f>"8/16/2019 2:36:24 AM"</f>
        <v>8/16/2019 2:36:24 AM</v>
      </c>
      <c r="J346" t="str">
        <f>"1"</f>
        <v>1</v>
      </c>
      <c r="K346" t="str">
        <f>"1"</f>
        <v>1</v>
      </c>
      <c r="L346" t="str">
        <f>"TN"</f>
        <v>TN</v>
      </c>
      <c r="M346" t="str">
        <f>"12.62"</f>
        <v>12.62</v>
      </c>
      <c r="N346" t="str">
        <f>"3.376"</f>
        <v>3.376</v>
      </c>
      <c r="O346" t="str">
        <f>"NPOC:5.008mg/L TN:3.452mg/L"</f>
        <v>NPOC:5.008mg/L TN:3.452mg/L</v>
      </c>
      <c r="P346">
        <v>0</v>
      </c>
      <c r="Q346" t="str">
        <f>"80"</f>
        <v>80</v>
      </c>
    </row>
    <row r="347" spans="1:17" x14ac:dyDescent="0.2">
      <c r="A347" t="str">
        <f>"Unknown"</f>
        <v>Unknown</v>
      </c>
      <c r="B347" t="str">
        <f>"NPOC/TN"</f>
        <v>NPOC/TN</v>
      </c>
      <c r="C347" t="str">
        <f>"1103"</f>
        <v>1103</v>
      </c>
      <c r="D347" t="str">
        <f>"30"</f>
        <v>30</v>
      </c>
      <c r="E347" t="str">
        <f>"C:\TOC3201\Methods\Itamar\acid_sample.met"</f>
        <v>C:\TOC3201\Methods\Itamar\acid_sample.met</v>
      </c>
      <c r="F347" t="str">
        <f>"C:\TOC3201\CalCurves\Itamar\N_cal_25ppm_acid_laurel.2019_08_15_12_20_41.cal"</f>
        <v>C:\TOC3201\CalCurves\Itamar\N_cal_25ppm_acid_laurel.2019_08_15_12_20_41.cal</v>
      </c>
      <c r="G347">
        <v>1</v>
      </c>
      <c r="H347" t="str">
        <f>""</f>
        <v/>
      </c>
      <c r="I347" t="str">
        <f>"8/16/2019 2:39:40 AM"</f>
        <v>8/16/2019 2:39:40 AM</v>
      </c>
      <c r="J347" t="str">
        <f>"1"</f>
        <v>1</v>
      </c>
      <c r="K347" t="str">
        <f>"2"</f>
        <v>2</v>
      </c>
      <c r="L347" t="str">
        <f>"TN"</f>
        <v>TN</v>
      </c>
      <c r="M347" t="str">
        <f>"12.39"</f>
        <v>12.39</v>
      </c>
      <c r="N347" t="str">
        <f>"3.318"</f>
        <v>3.318</v>
      </c>
      <c r="O347" t="str">
        <f>"NPOC:5.008mg/L TN:3.452mg/L"</f>
        <v>NPOC:5.008mg/L TN:3.452mg/L</v>
      </c>
      <c r="P347">
        <v>1</v>
      </c>
      <c r="Q347" t="str">
        <f>"80"</f>
        <v>80</v>
      </c>
    </row>
    <row r="348" spans="1:17" x14ac:dyDescent="0.2">
      <c r="A348" t="str">
        <f>"Unknown"</f>
        <v>Unknown</v>
      </c>
      <c r="B348" t="str">
        <f>"NPOC/TN"</f>
        <v>NPOC/TN</v>
      </c>
      <c r="C348" t="str">
        <f>"1103"</f>
        <v>1103</v>
      </c>
      <c r="D348" t="str">
        <f>"30"</f>
        <v>30</v>
      </c>
      <c r="E348" t="str">
        <f>"C:\TOC3201\Methods\Itamar\acid_sample.met"</f>
        <v>C:\TOC3201\Methods\Itamar\acid_sample.met</v>
      </c>
      <c r="F348" t="str">
        <f>"C:\TOC3201\CalCurves\Itamar\N_cal_25ppm_acid_laurel.2019_08_15_12_20_41.cal"</f>
        <v>C:\TOC3201\CalCurves\Itamar\N_cal_25ppm_acid_laurel.2019_08_15_12_20_41.cal</v>
      </c>
      <c r="G348">
        <v>1</v>
      </c>
      <c r="H348" t="str">
        <f>""</f>
        <v/>
      </c>
      <c r="I348" t="str">
        <f>"8/16/2019 2:42:53 AM"</f>
        <v>8/16/2019 2:42:53 AM</v>
      </c>
      <c r="J348" t="str">
        <f>"1"</f>
        <v>1</v>
      </c>
      <c r="K348" t="str">
        <f>"3"</f>
        <v>3</v>
      </c>
      <c r="L348" t="str">
        <f>"TN"</f>
        <v>TN</v>
      </c>
      <c r="M348" t="str">
        <f>"13.00"</f>
        <v>13.00</v>
      </c>
      <c r="N348" t="str">
        <f>"3.473"</f>
        <v>3.473</v>
      </c>
      <c r="O348" t="str">
        <f>"NPOC:5.008mg/L TN:3.452mg/L"</f>
        <v>NPOC:5.008mg/L TN:3.452mg/L</v>
      </c>
      <c r="P348">
        <v>0</v>
      </c>
      <c r="Q348" t="str">
        <f>"80"</f>
        <v>80</v>
      </c>
    </row>
    <row r="349" spans="1:17" x14ac:dyDescent="0.2">
      <c r="A349" t="str">
        <f>"Unknown"</f>
        <v>Unknown</v>
      </c>
      <c r="B349" t="str">
        <f>"NPOC/TN"</f>
        <v>NPOC/TN</v>
      </c>
      <c r="C349" t="str">
        <f>"1103"</f>
        <v>1103</v>
      </c>
      <c r="D349" t="str">
        <f>"30"</f>
        <v>30</v>
      </c>
      <c r="E349" t="str">
        <f>"C:\TOC3201\Methods\Itamar\acid_sample.met"</f>
        <v>C:\TOC3201\Methods\Itamar\acid_sample.met</v>
      </c>
      <c r="F349" t="str">
        <f>"C:\TOC3201\CalCurves\Itamar\N_cal_25ppm_acid_laurel.2019_08_15_12_20_41.cal"</f>
        <v>C:\TOC3201\CalCurves\Itamar\N_cal_25ppm_acid_laurel.2019_08_15_12_20_41.cal</v>
      </c>
      <c r="G349">
        <v>1</v>
      </c>
      <c r="H349" t="str">
        <f>""</f>
        <v/>
      </c>
      <c r="I349" t="str">
        <f>"8/16/2019 2:46:12 AM"</f>
        <v>8/16/2019 2:46:12 AM</v>
      </c>
      <c r="J349" t="str">
        <f>"1"</f>
        <v>1</v>
      </c>
      <c r="K349" t="str">
        <f>"4"</f>
        <v>4</v>
      </c>
      <c r="L349" t="str">
        <f>"TN"</f>
        <v>TN</v>
      </c>
      <c r="M349" t="str">
        <f>"13.13"</f>
        <v>13.13</v>
      </c>
      <c r="N349" t="str">
        <f>"3.506"</f>
        <v>3.506</v>
      </c>
      <c r="O349" t="str">
        <f>"NPOC:5.008mg/L TN:3.452mg/L"</f>
        <v>NPOC:5.008mg/L TN:3.452mg/L</v>
      </c>
      <c r="P349">
        <v>0</v>
      </c>
      <c r="Q349" t="str">
        <f>"80"</f>
        <v>80</v>
      </c>
    </row>
    <row r="350" spans="1:17" x14ac:dyDescent="0.2">
      <c r="A350" t="str">
        <f>"Unknown"</f>
        <v>Unknown</v>
      </c>
      <c r="B350" t="str">
        <f>"NPOC/TN"</f>
        <v>NPOC/TN</v>
      </c>
      <c r="C350" t="str">
        <f>"1103"</f>
        <v>1103</v>
      </c>
      <c r="D350" t="str">
        <f>"30"</f>
        <v>30</v>
      </c>
      <c r="E350" t="str">
        <f>"C:\TOC3201\Methods\Itamar\acid_sample.met"</f>
        <v>C:\TOC3201\Methods\Itamar\acid_sample.met</v>
      </c>
      <c r="F350" t="str">
        <f>"C:\TOC3201\CalCurves\Itamar\N_cal_25ppm_acid_laurel.2019_08_15_12_20_41.cal"</f>
        <v>C:\TOC3201\CalCurves\Itamar\N_cal_25ppm_acid_laurel.2019_08_15_12_20_41.cal</v>
      </c>
      <c r="G350">
        <v>1</v>
      </c>
      <c r="H350" t="str">
        <f>""</f>
        <v/>
      </c>
      <c r="I350" t="str">
        <f>"8/16/2019 2:49:20 AM"</f>
        <v>8/16/2019 2:49:20 AM</v>
      </c>
      <c r="J350" t="str">
        <f>"1"</f>
        <v>1</v>
      </c>
      <c r="K350" t="str">
        <f>"5"</f>
        <v>5</v>
      </c>
      <c r="L350" t="str">
        <f>"TN"</f>
        <v>TN</v>
      </c>
      <c r="M350" t="str">
        <f>"11.30"</f>
        <v>11.30</v>
      </c>
      <c r="N350" t="str">
        <f>"3.040"</f>
        <v>3.040</v>
      </c>
      <c r="O350" t="str">
        <f>"NPOC:5.008mg/L TN:3.452mg/L"</f>
        <v>NPOC:5.008mg/L TN:3.452mg/L</v>
      </c>
      <c r="P350">
        <v>1</v>
      </c>
      <c r="Q350" t="str">
        <f>"80"</f>
        <v>80</v>
      </c>
    </row>
    <row r="351" spans="1:17" x14ac:dyDescent="0.2">
      <c r="A351" t="str">
        <f>"Unknown"</f>
        <v>Unknown</v>
      </c>
      <c r="B351" t="str">
        <f>"NPOC/TN"</f>
        <v>NPOC/TN</v>
      </c>
      <c r="C351" t="str">
        <f>"1046"</f>
        <v>1046</v>
      </c>
      <c r="D351" t="str">
        <f>"31"</f>
        <v>31</v>
      </c>
      <c r="E351" t="str">
        <f>"C:\TOC3201\Methods\Itamar\acid_sample.met"</f>
        <v>C:\TOC3201\Methods\Itamar\acid_sample.met</v>
      </c>
      <c r="F351" t="str">
        <f>"C:\TOC3201\CalCurves\Itamar\C_cal_100ppm_acid_laurel.2019_08_15_10_24_40.cal"</f>
        <v>C:\TOC3201\CalCurves\Itamar\C_cal_100ppm_acid_laurel.2019_08_15_10_24_40.cal</v>
      </c>
      <c r="G351">
        <v>1</v>
      </c>
      <c r="H351" t="str">
        <f>""</f>
        <v/>
      </c>
      <c r="I351" t="str">
        <f>"8/16/2019 3:00:13 AM"</f>
        <v>8/16/2019 3:00:13 AM</v>
      </c>
      <c r="J351" t="str">
        <f>"1"</f>
        <v>1</v>
      </c>
      <c r="K351" t="str">
        <f>"1"</f>
        <v>1</v>
      </c>
      <c r="L351" t="str">
        <f>"NPOC"</f>
        <v>NPOC</v>
      </c>
      <c r="M351" t="str">
        <f>"512.6"</f>
        <v>512.6</v>
      </c>
      <c r="N351" t="str">
        <f>"105.3"</f>
        <v>105.3</v>
      </c>
      <c r="O351" t="str">
        <f>"NPOC:106.3mg/L TN:20.19mg/L"</f>
        <v>NPOC:106.3mg/L TN:20.19mg/L</v>
      </c>
      <c r="P351">
        <v>0</v>
      </c>
      <c r="Q351" t="str">
        <f>"80"</f>
        <v>80</v>
      </c>
    </row>
    <row r="352" spans="1:17" x14ac:dyDescent="0.2">
      <c r="A352" t="str">
        <f>"Unknown"</f>
        <v>Unknown</v>
      </c>
      <c r="B352" t="str">
        <f>"NPOC/TN"</f>
        <v>NPOC/TN</v>
      </c>
      <c r="C352" t="str">
        <f>"1046"</f>
        <v>1046</v>
      </c>
      <c r="D352" t="str">
        <f>"31"</f>
        <v>31</v>
      </c>
      <c r="E352" t="str">
        <f>"C:\TOC3201\Methods\Itamar\acid_sample.met"</f>
        <v>C:\TOC3201\Methods\Itamar\acid_sample.met</v>
      </c>
      <c r="F352" t="str">
        <f>"C:\TOC3201\CalCurves\Itamar\C_cal_100ppm_acid_laurel.2019_08_15_10_24_40.cal"</f>
        <v>C:\TOC3201\CalCurves\Itamar\C_cal_100ppm_acid_laurel.2019_08_15_10_24_40.cal</v>
      </c>
      <c r="G352">
        <v>1</v>
      </c>
      <c r="H352" t="str">
        <f>""</f>
        <v/>
      </c>
      <c r="I352" t="str">
        <f>"8/16/2019 3:04:20 AM"</f>
        <v>8/16/2019 3:04:20 AM</v>
      </c>
      <c r="J352" t="str">
        <f>"1"</f>
        <v>1</v>
      </c>
      <c r="K352" t="str">
        <f>"2"</f>
        <v>2</v>
      </c>
      <c r="L352" t="str">
        <f>"NPOC"</f>
        <v>NPOC</v>
      </c>
      <c r="M352" t="str">
        <f>"490.5"</f>
        <v>490.5</v>
      </c>
      <c r="N352" t="str">
        <f>"100.8"</f>
        <v>100.8</v>
      </c>
      <c r="O352" t="str">
        <f>"NPOC:106.3mg/L TN:20.19mg/L"</f>
        <v>NPOC:106.3mg/L TN:20.19mg/L</v>
      </c>
      <c r="P352">
        <v>1</v>
      </c>
      <c r="Q352" t="str">
        <f>"80"</f>
        <v>80</v>
      </c>
    </row>
    <row r="353" spans="1:17" x14ac:dyDescent="0.2">
      <c r="A353" t="str">
        <f>"Unknown"</f>
        <v>Unknown</v>
      </c>
      <c r="B353" t="str">
        <f>"NPOC/TN"</f>
        <v>NPOC/TN</v>
      </c>
      <c r="C353" t="str">
        <f>"1046"</f>
        <v>1046</v>
      </c>
      <c r="D353" t="str">
        <f>"31"</f>
        <v>31</v>
      </c>
      <c r="E353" t="str">
        <f>"C:\TOC3201\Methods\Itamar\acid_sample.met"</f>
        <v>C:\TOC3201\Methods\Itamar\acid_sample.met</v>
      </c>
      <c r="F353" t="str">
        <f>"C:\TOC3201\CalCurves\Itamar\C_cal_100ppm_acid_laurel.2019_08_15_10_24_40.cal"</f>
        <v>C:\TOC3201\CalCurves\Itamar\C_cal_100ppm_acid_laurel.2019_08_15_10_24_40.cal</v>
      </c>
      <c r="G353">
        <v>1</v>
      </c>
      <c r="H353" t="str">
        <f>""</f>
        <v/>
      </c>
      <c r="I353" t="str">
        <f>"8/16/2019 3:08:34 AM"</f>
        <v>8/16/2019 3:08:34 AM</v>
      </c>
      <c r="J353" t="str">
        <f>"1"</f>
        <v>1</v>
      </c>
      <c r="K353" t="str">
        <f>"3"</f>
        <v>3</v>
      </c>
      <c r="L353" t="str">
        <f>"NPOC"</f>
        <v>NPOC</v>
      </c>
      <c r="M353" t="str">
        <f>"520.1"</f>
        <v>520.1</v>
      </c>
      <c r="N353" t="str">
        <f>"106.9"</f>
        <v>106.9</v>
      </c>
      <c r="O353" t="str">
        <f>"NPOC:106.3mg/L TN:20.19mg/L"</f>
        <v>NPOC:106.3mg/L TN:20.19mg/L</v>
      </c>
      <c r="P353">
        <v>0</v>
      </c>
      <c r="Q353" t="str">
        <f>"80"</f>
        <v>80</v>
      </c>
    </row>
    <row r="354" spans="1:17" x14ac:dyDescent="0.2">
      <c r="A354" t="str">
        <f>"Unknown"</f>
        <v>Unknown</v>
      </c>
      <c r="B354" t="str">
        <f>"NPOC/TN"</f>
        <v>NPOC/TN</v>
      </c>
      <c r="C354" t="str">
        <f>"1046"</f>
        <v>1046</v>
      </c>
      <c r="D354" t="str">
        <f>"31"</f>
        <v>31</v>
      </c>
      <c r="E354" t="str">
        <f>"C:\TOC3201\Methods\Itamar\acid_sample.met"</f>
        <v>C:\TOC3201\Methods\Itamar\acid_sample.met</v>
      </c>
      <c r="F354" t="str">
        <f>"C:\TOC3201\CalCurves\Itamar\C_cal_100ppm_acid_laurel.2019_08_15_10_24_40.cal"</f>
        <v>C:\TOC3201\CalCurves\Itamar\C_cal_100ppm_acid_laurel.2019_08_15_10_24_40.cal</v>
      </c>
      <c r="G354">
        <v>1</v>
      </c>
      <c r="H354" t="str">
        <f>""</f>
        <v/>
      </c>
      <c r="I354" t="str">
        <f>"8/16/2019 3:13:01 AM"</f>
        <v>8/16/2019 3:13:01 AM</v>
      </c>
      <c r="J354" t="str">
        <f>"1"</f>
        <v>1</v>
      </c>
      <c r="K354" t="str">
        <f>"4"</f>
        <v>4</v>
      </c>
      <c r="L354" t="str">
        <f>"NPOC"</f>
        <v>NPOC</v>
      </c>
      <c r="M354" t="str">
        <f>"519.7"</f>
        <v>519.7</v>
      </c>
      <c r="N354" t="str">
        <f>"106.8"</f>
        <v>106.8</v>
      </c>
      <c r="O354" t="str">
        <f>"NPOC:106.3mg/L TN:20.19mg/L"</f>
        <v>NPOC:106.3mg/L TN:20.19mg/L</v>
      </c>
      <c r="P354">
        <v>0</v>
      </c>
      <c r="Q354" t="str">
        <f>"80"</f>
        <v>80</v>
      </c>
    </row>
    <row r="355" spans="1:17" x14ac:dyDescent="0.2">
      <c r="A355" t="str">
        <f>"Unknown"</f>
        <v>Unknown</v>
      </c>
      <c r="B355" t="str">
        <f>"NPOC/TN"</f>
        <v>NPOC/TN</v>
      </c>
      <c r="C355" t="str">
        <f>"1046"</f>
        <v>1046</v>
      </c>
      <c r="D355" t="str">
        <f>"31"</f>
        <v>31</v>
      </c>
      <c r="E355" t="str">
        <f>"C:\TOC3201\Methods\Itamar\acid_sample.met"</f>
        <v>C:\TOC3201\Methods\Itamar\acid_sample.met</v>
      </c>
      <c r="F355" t="str">
        <f>"C:\TOC3201\CalCurves\Itamar\N_cal_25ppm_acid_laurel.2019_08_15_12_20_41.cal"</f>
        <v>C:\TOC3201\CalCurves\Itamar\N_cal_25ppm_acid_laurel.2019_08_15_12_20_41.cal</v>
      </c>
      <c r="G355">
        <v>1</v>
      </c>
      <c r="H355" t="str">
        <f>""</f>
        <v/>
      </c>
      <c r="I355" t="str">
        <f>"8/16/2019 3:00:13 AM"</f>
        <v>8/16/2019 3:00:13 AM</v>
      </c>
      <c r="J355" t="str">
        <f>"1"</f>
        <v>1</v>
      </c>
      <c r="K355" t="str">
        <f>"1"</f>
        <v>1</v>
      </c>
      <c r="L355" t="str">
        <f>"TN"</f>
        <v>TN</v>
      </c>
      <c r="M355" t="str">
        <f>"78.49"</f>
        <v>78.49</v>
      </c>
      <c r="N355" t="str">
        <f>"20.16"</f>
        <v>20.16</v>
      </c>
      <c r="O355" t="str">
        <f>"NPOC:106.3mg/L TN:20.19mg/L"</f>
        <v>NPOC:106.3mg/L TN:20.19mg/L</v>
      </c>
      <c r="P355">
        <v>0</v>
      </c>
      <c r="Q355" t="str">
        <f>"80"</f>
        <v>80</v>
      </c>
    </row>
    <row r="356" spans="1:17" x14ac:dyDescent="0.2">
      <c r="A356" t="str">
        <f>"Unknown"</f>
        <v>Unknown</v>
      </c>
      <c r="B356" t="str">
        <f>"NPOC/TN"</f>
        <v>NPOC/TN</v>
      </c>
      <c r="C356" t="str">
        <f>"1046"</f>
        <v>1046</v>
      </c>
      <c r="D356" t="str">
        <f>"31"</f>
        <v>31</v>
      </c>
      <c r="E356" t="str">
        <f>"C:\TOC3201\Methods\Itamar\acid_sample.met"</f>
        <v>C:\TOC3201\Methods\Itamar\acid_sample.met</v>
      </c>
      <c r="F356" t="str">
        <f>"C:\TOC3201\CalCurves\Itamar\N_cal_25ppm_acid_laurel.2019_08_15_12_20_41.cal"</f>
        <v>C:\TOC3201\CalCurves\Itamar\N_cal_25ppm_acid_laurel.2019_08_15_12_20_41.cal</v>
      </c>
      <c r="G356">
        <v>1</v>
      </c>
      <c r="H356" t="str">
        <f>""</f>
        <v/>
      </c>
      <c r="I356" t="str">
        <f>"8/16/2019 3:04:20 AM"</f>
        <v>8/16/2019 3:04:20 AM</v>
      </c>
      <c r="J356" t="str">
        <f>"1"</f>
        <v>1</v>
      </c>
      <c r="K356" t="str">
        <f>"2"</f>
        <v>2</v>
      </c>
      <c r="L356" t="str">
        <f>"TN"</f>
        <v>TN</v>
      </c>
      <c r="M356" t="str">
        <f>"74.46"</f>
        <v>74.46</v>
      </c>
      <c r="N356" t="str">
        <f>"19.13"</f>
        <v>19.13</v>
      </c>
      <c r="O356" t="str">
        <f>"NPOC:106.3mg/L TN:20.19mg/L"</f>
        <v>NPOC:106.3mg/L TN:20.19mg/L</v>
      </c>
      <c r="P356">
        <v>1</v>
      </c>
      <c r="Q356" t="str">
        <f>"80"</f>
        <v>80</v>
      </c>
    </row>
    <row r="357" spans="1:17" x14ac:dyDescent="0.2">
      <c r="A357" t="str">
        <f>"Unknown"</f>
        <v>Unknown</v>
      </c>
      <c r="B357" t="str">
        <f>"NPOC/TN"</f>
        <v>NPOC/TN</v>
      </c>
      <c r="C357" t="str">
        <f>"1046"</f>
        <v>1046</v>
      </c>
      <c r="D357" t="str">
        <f>"31"</f>
        <v>31</v>
      </c>
      <c r="E357" t="str">
        <f>"C:\TOC3201\Methods\Itamar\acid_sample.met"</f>
        <v>C:\TOC3201\Methods\Itamar\acid_sample.met</v>
      </c>
      <c r="F357" t="str">
        <f>"C:\TOC3201\CalCurves\Itamar\N_cal_25ppm_acid_laurel.2019_08_15_12_20_41.cal"</f>
        <v>C:\TOC3201\CalCurves\Itamar\N_cal_25ppm_acid_laurel.2019_08_15_12_20_41.cal</v>
      </c>
      <c r="G357">
        <v>1</v>
      </c>
      <c r="H357" t="str">
        <f>""</f>
        <v/>
      </c>
      <c r="I357" t="str">
        <f>"8/16/2019 3:08:34 AM"</f>
        <v>8/16/2019 3:08:34 AM</v>
      </c>
      <c r="J357" t="str">
        <f>"1"</f>
        <v>1</v>
      </c>
      <c r="K357" t="str">
        <f>"3"</f>
        <v>3</v>
      </c>
      <c r="L357" t="str">
        <f>"TN"</f>
        <v>TN</v>
      </c>
      <c r="M357" t="str">
        <f>"78.16"</f>
        <v>78.16</v>
      </c>
      <c r="N357" t="str">
        <f>"20.08"</f>
        <v>20.08</v>
      </c>
      <c r="O357" t="str">
        <f>"NPOC:106.3mg/L TN:20.19mg/L"</f>
        <v>NPOC:106.3mg/L TN:20.19mg/L</v>
      </c>
      <c r="P357">
        <v>0</v>
      </c>
      <c r="Q357" t="str">
        <f>"80"</f>
        <v>80</v>
      </c>
    </row>
    <row r="358" spans="1:17" x14ac:dyDescent="0.2">
      <c r="A358" t="str">
        <f>"Unknown"</f>
        <v>Unknown</v>
      </c>
      <c r="B358" t="str">
        <f>"NPOC/TN"</f>
        <v>NPOC/TN</v>
      </c>
      <c r="C358" t="str">
        <f>"1046"</f>
        <v>1046</v>
      </c>
      <c r="D358" t="str">
        <f>"31"</f>
        <v>31</v>
      </c>
      <c r="E358" t="str">
        <f>"C:\TOC3201\Methods\Itamar\acid_sample.met"</f>
        <v>C:\TOC3201\Methods\Itamar\acid_sample.met</v>
      </c>
      <c r="F358" t="str">
        <f>"C:\TOC3201\CalCurves\Itamar\N_cal_25ppm_acid_laurel.2019_08_15_12_20_41.cal"</f>
        <v>C:\TOC3201\CalCurves\Itamar\N_cal_25ppm_acid_laurel.2019_08_15_12_20_41.cal</v>
      </c>
      <c r="G358">
        <v>1</v>
      </c>
      <c r="H358" t="str">
        <f>""</f>
        <v/>
      </c>
      <c r="I358" t="str">
        <f>"8/16/2019 3:13:01 AM"</f>
        <v>8/16/2019 3:13:01 AM</v>
      </c>
      <c r="J358" t="str">
        <f>"1"</f>
        <v>1</v>
      </c>
      <c r="K358" t="str">
        <f>"4"</f>
        <v>4</v>
      </c>
      <c r="L358" t="str">
        <f>"TN"</f>
        <v>TN</v>
      </c>
      <c r="M358" t="str">
        <f>"79.21"</f>
        <v>79.21</v>
      </c>
      <c r="N358" t="str">
        <f>"20.34"</f>
        <v>20.34</v>
      </c>
      <c r="O358" t="str">
        <f>"NPOC:106.3mg/L TN:20.19mg/L"</f>
        <v>NPOC:106.3mg/L TN:20.19mg/L</v>
      </c>
      <c r="P358">
        <v>0</v>
      </c>
      <c r="Q358" t="str">
        <f>"80"</f>
        <v>80</v>
      </c>
    </row>
    <row r="359" spans="1:17" x14ac:dyDescent="0.2">
      <c r="A359" t="str">
        <f>"Unknown"</f>
        <v>Unknown</v>
      </c>
      <c r="B359" t="str">
        <f>"NPOC/TN"</f>
        <v>NPOC/TN</v>
      </c>
      <c r="C359" t="str">
        <f>"1048"</f>
        <v>1048</v>
      </c>
      <c r="D359" t="str">
        <f>"32"</f>
        <v>32</v>
      </c>
      <c r="E359" t="str">
        <f>"C:\TOC3201\Methods\Itamar\acid_sample.met"</f>
        <v>C:\TOC3201\Methods\Itamar\acid_sample.met</v>
      </c>
      <c r="F359" t="str">
        <f>"C:\TOC3201\CalCurves\Itamar\C_cal_100ppm_acid_laurel.2019_08_15_10_24_40.cal"</f>
        <v>C:\TOC3201\CalCurves\Itamar\C_cal_100ppm_acid_laurel.2019_08_15_10_24_40.cal</v>
      </c>
      <c r="G359">
        <v>1</v>
      </c>
      <c r="H359" t="str">
        <f>""</f>
        <v/>
      </c>
      <c r="I359" t="str">
        <f>"8/16/2019 3:24:06 AM"</f>
        <v>8/16/2019 3:24:06 AM</v>
      </c>
      <c r="J359" t="str">
        <f>"1"</f>
        <v>1</v>
      </c>
      <c r="K359" t="str">
        <f>"1"</f>
        <v>1</v>
      </c>
      <c r="L359" t="str">
        <f>"NPOC"</f>
        <v>NPOC</v>
      </c>
      <c r="M359" t="str">
        <f>"492.6"</f>
        <v>492.6</v>
      </c>
      <c r="N359" t="str">
        <f>"101.2"</f>
        <v>101.2</v>
      </c>
      <c r="O359" t="str">
        <f>"NPOC:101.5mg/L TN:19.69mg/L"</f>
        <v>NPOC:101.5mg/L TN:19.69mg/L</v>
      </c>
      <c r="P359">
        <v>0</v>
      </c>
      <c r="Q359" t="str">
        <f>"80"</f>
        <v>80</v>
      </c>
    </row>
    <row r="360" spans="1:17" x14ac:dyDescent="0.2">
      <c r="A360" t="str">
        <f>"Unknown"</f>
        <v>Unknown</v>
      </c>
      <c r="B360" t="str">
        <f>"NPOC/TN"</f>
        <v>NPOC/TN</v>
      </c>
      <c r="C360" t="str">
        <f>"1048"</f>
        <v>1048</v>
      </c>
      <c r="D360" t="str">
        <f>"32"</f>
        <v>32</v>
      </c>
      <c r="E360" t="str">
        <f>"C:\TOC3201\Methods\Itamar\acid_sample.met"</f>
        <v>C:\TOC3201\Methods\Itamar\acid_sample.met</v>
      </c>
      <c r="F360" t="str">
        <f>"C:\TOC3201\CalCurves\Itamar\C_cal_100ppm_acid_laurel.2019_08_15_10_24_40.cal"</f>
        <v>C:\TOC3201\CalCurves\Itamar\C_cal_100ppm_acid_laurel.2019_08_15_10_24_40.cal</v>
      </c>
      <c r="G360">
        <v>1</v>
      </c>
      <c r="H360" t="str">
        <f>""</f>
        <v/>
      </c>
      <c r="I360" t="str">
        <f>"8/16/2019 3:29:03 AM"</f>
        <v>8/16/2019 3:29:03 AM</v>
      </c>
      <c r="J360" t="str">
        <f>"1"</f>
        <v>1</v>
      </c>
      <c r="K360" t="str">
        <f>"2"</f>
        <v>2</v>
      </c>
      <c r="L360" t="str">
        <f>"NPOC"</f>
        <v>NPOC</v>
      </c>
      <c r="M360" t="str">
        <f>"484.8"</f>
        <v>484.8</v>
      </c>
      <c r="N360" t="str">
        <f>"99.61"</f>
        <v>99.61</v>
      </c>
      <c r="O360" t="str">
        <f>"NPOC:101.5mg/L TN:19.69mg/L"</f>
        <v>NPOC:101.5mg/L TN:19.69mg/L</v>
      </c>
      <c r="P360">
        <v>0</v>
      </c>
      <c r="Q360" t="str">
        <f>"80"</f>
        <v>80</v>
      </c>
    </row>
    <row r="361" spans="1:17" x14ac:dyDescent="0.2">
      <c r="A361" t="str">
        <f>"Unknown"</f>
        <v>Unknown</v>
      </c>
      <c r="B361" t="str">
        <f>"NPOC/TN"</f>
        <v>NPOC/TN</v>
      </c>
      <c r="C361" t="str">
        <f>"1048"</f>
        <v>1048</v>
      </c>
      <c r="D361" t="str">
        <f>"32"</f>
        <v>32</v>
      </c>
      <c r="E361" t="str">
        <f>"C:\TOC3201\Methods\Itamar\acid_sample.met"</f>
        <v>C:\TOC3201\Methods\Itamar\acid_sample.met</v>
      </c>
      <c r="F361" t="str">
        <f>"C:\TOC3201\CalCurves\Itamar\C_cal_100ppm_acid_laurel.2019_08_15_10_24_40.cal"</f>
        <v>C:\TOC3201\CalCurves\Itamar\C_cal_100ppm_acid_laurel.2019_08_15_10_24_40.cal</v>
      </c>
      <c r="G361">
        <v>1</v>
      </c>
      <c r="H361" t="str">
        <f>""</f>
        <v/>
      </c>
      <c r="I361" t="str">
        <f>"8/16/2019 3:33:11 AM"</f>
        <v>8/16/2019 3:33:11 AM</v>
      </c>
      <c r="J361" t="str">
        <f>"1"</f>
        <v>1</v>
      </c>
      <c r="K361" t="str">
        <f>"3"</f>
        <v>3</v>
      </c>
      <c r="L361" t="str">
        <f>"NPOC"</f>
        <v>NPOC</v>
      </c>
      <c r="M361" t="str">
        <f>"504.2"</f>
        <v>504.2</v>
      </c>
      <c r="N361" t="str">
        <f>"103.6"</f>
        <v>103.6</v>
      </c>
      <c r="O361" t="str">
        <f>"NPOC:101.5mg/L TN:19.69mg/L"</f>
        <v>NPOC:101.5mg/L TN:19.69mg/L</v>
      </c>
      <c r="P361">
        <v>0</v>
      </c>
      <c r="Q361" t="str">
        <f>"80"</f>
        <v>80</v>
      </c>
    </row>
    <row r="362" spans="1:17" x14ac:dyDescent="0.2">
      <c r="A362" t="str">
        <f>"Unknown"</f>
        <v>Unknown</v>
      </c>
      <c r="B362" t="str">
        <f>"NPOC/TN"</f>
        <v>NPOC/TN</v>
      </c>
      <c r="C362" t="str">
        <f>"1048"</f>
        <v>1048</v>
      </c>
      <c r="D362" t="str">
        <f>"32"</f>
        <v>32</v>
      </c>
      <c r="E362" t="str">
        <f>"C:\TOC3201\Methods\Itamar\acid_sample.met"</f>
        <v>C:\TOC3201\Methods\Itamar\acid_sample.met</v>
      </c>
      <c r="F362" t="str">
        <f>"C:\TOC3201\CalCurves\Itamar\N_cal_25ppm_acid_laurel.2019_08_15_12_20_41.cal"</f>
        <v>C:\TOC3201\CalCurves\Itamar\N_cal_25ppm_acid_laurel.2019_08_15_12_20_41.cal</v>
      </c>
      <c r="G362">
        <v>1</v>
      </c>
      <c r="H362" t="str">
        <f>""</f>
        <v/>
      </c>
      <c r="I362" t="str">
        <f>"8/16/2019 3:24:06 AM"</f>
        <v>8/16/2019 3:24:06 AM</v>
      </c>
      <c r="J362" t="str">
        <f>"1"</f>
        <v>1</v>
      </c>
      <c r="K362" t="str">
        <f>"1"</f>
        <v>1</v>
      </c>
      <c r="L362" t="str">
        <f>"TN"</f>
        <v>TN</v>
      </c>
      <c r="M362" t="str">
        <f>"75.96"</f>
        <v>75.96</v>
      </c>
      <c r="N362" t="str">
        <f>"19.52"</f>
        <v>19.52</v>
      </c>
      <c r="O362" t="str">
        <f>"NPOC:101.5mg/L TN:19.69mg/L"</f>
        <v>NPOC:101.5mg/L TN:19.69mg/L</v>
      </c>
      <c r="P362">
        <v>0</v>
      </c>
      <c r="Q362" t="str">
        <f>"80"</f>
        <v>80</v>
      </c>
    </row>
    <row r="363" spans="1:17" x14ac:dyDescent="0.2">
      <c r="A363" t="str">
        <f>"Unknown"</f>
        <v>Unknown</v>
      </c>
      <c r="B363" t="str">
        <f>"NPOC/TN"</f>
        <v>NPOC/TN</v>
      </c>
      <c r="C363" t="str">
        <f>"1048"</f>
        <v>1048</v>
      </c>
      <c r="D363" t="str">
        <f>"32"</f>
        <v>32</v>
      </c>
      <c r="E363" t="str">
        <f>"C:\TOC3201\Methods\Itamar\acid_sample.met"</f>
        <v>C:\TOC3201\Methods\Itamar\acid_sample.met</v>
      </c>
      <c r="F363" t="str">
        <f>"C:\TOC3201\CalCurves\Itamar\N_cal_25ppm_acid_laurel.2019_08_15_12_20_41.cal"</f>
        <v>C:\TOC3201\CalCurves\Itamar\N_cal_25ppm_acid_laurel.2019_08_15_12_20_41.cal</v>
      </c>
      <c r="G363">
        <v>1</v>
      </c>
      <c r="H363" t="str">
        <f>""</f>
        <v/>
      </c>
      <c r="I363" t="str">
        <f>"8/16/2019 3:29:03 AM"</f>
        <v>8/16/2019 3:29:03 AM</v>
      </c>
      <c r="J363" t="str">
        <f>"1"</f>
        <v>1</v>
      </c>
      <c r="K363" t="str">
        <f>"2"</f>
        <v>2</v>
      </c>
      <c r="L363" t="str">
        <f>"TN"</f>
        <v>TN</v>
      </c>
      <c r="M363" t="str">
        <f>"76.55"</f>
        <v>76.55</v>
      </c>
      <c r="N363" t="str">
        <f>"19.67"</f>
        <v>19.67</v>
      </c>
      <c r="O363" t="str">
        <f>"NPOC:101.5mg/L TN:19.69mg/L"</f>
        <v>NPOC:101.5mg/L TN:19.69mg/L</v>
      </c>
      <c r="P363">
        <v>0</v>
      </c>
      <c r="Q363" t="str">
        <f>"80"</f>
        <v>80</v>
      </c>
    </row>
    <row r="364" spans="1:17" x14ac:dyDescent="0.2">
      <c r="A364" t="str">
        <f>"Unknown"</f>
        <v>Unknown</v>
      </c>
      <c r="B364" t="str">
        <f>"NPOC/TN"</f>
        <v>NPOC/TN</v>
      </c>
      <c r="C364" t="str">
        <f>"1048"</f>
        <v>1048</v>
      </c>
      <c r="D364" t="str">
        <f>"32"</f>
        <v>32</v>
      </c>
      <c r="E364" t="str">
        <f>"C:\TOC3201\Methods\Itamar\acid_sample.met"</f>
        <v>C:\TOC3201\Methods\Itamar\acid_sample.met</v>
      </c>
      <c r="F364" t="str">
        <f>"C:\TOC3201\CalCurves\Itamar\N_cal_25ppm_acid_laurel.2019_08_15_12_20_41.cal"</f>
        <v>C:\TOC3201\CalCurves\Itamar\N_cal_25ppm_acid_laurel.2019_08_15_12_20_41.cal</v>
      </c>
      <c r="G364">
        <v>1</v>
      </c>
      <c r="H364" t="str">
        <f>""</f>
        <v/>
      </c>
      <c r="I364" t="str">
        <f>"8/16/2019 3:33:11 AM"</f>
        <v>8/16/2019 3:33:11 AM</v>
      </c>
      <c r="J364" t="str">
        <f>"1"</f>
        <v>1</v>
      </c>
      <c r="K364" t="str">
        <f>"3"</f>
        <v>3</v>
      </c>
      <c r="L364" t="str">
        <f>"TN"</f>
        <v>TN</v>
      </c>
      <c r="M364" t="str">
        <f>"77.43"</f>
        <v>77.43</v>
      </c>
      <c r="N364" t="str">
        <f>"19.89"</f>
        <v>19.89</v>
      </c>
      <c r="O364" t="str">
        <f>"NPOC:101.5mg/L TN:19.69mg/L"</f>
        <v>NPOC:101.5mg/L TN:19.69mg/L</v>
      </c>
      <c r="P364">
        <v>0</v>
      </c>
      <c r="Q364" t="str">
        <f>"80"</f>
        <v>80</v>
      </c>
    </row>
    <row r="365" spans="1:17" x14ac:dyDescent="0.2">
      <c r="A365" t="str">
        <f>"Unknown"</f>
        <v>Unknown</v>
      </c>
      <c r="B365" t="str">
        <f>"NPOC/TN"</f>
        <v>NPOC/TN</v>
      </c>
      <c r="C365" t="str">
        <f>"1050"</f>
        <v>1050</v>
      </c>
      <c r="D365" t="str">
        <f>"33"</f>
        <v>33</v>
      </c>
      <c r="E365" t="str">
        <f>"C:\TOC3201\Methods\Itamar\acid_sample.met"</f>
        <v>C:\TOC3201\Methods\Itamar\acid_sample.met</v>
      </c>
      <c r="F365" t="str">
        <f>"C:\TOC3201\CalCurves\Itamar\C_cal_100ppm_acid_laurel.2019_08_15_10_24_40.cal"</f>
        <v>C:\TOC3201\CalCurves\Itamar\C_cal_100ppm_acid_laurel.2019_08_15_10_24_40.cal</v>
      </c>
      <c r="G365">
        <v>1</v>
      </c>
      <c r="H365" t="str">
        <f>""</f>
        <v/>
      </c>
      <c r="I365" t="str">
        <f>"8/16/2019 3:44:07 AM"</f>
        <v>8/16/2019 3:44:07 AM</v>
      </c>
      <c r="J365" t="str">
        <f>"1"</f>
        <v>1</v>
      </c>
      <c r="K365" t="str">
        <f>"1"</f>
        <v>1</v>
      </c>
      <c r="L365" t="str">
        <f>"NPOC"</f>
        <v>NPOC</v>
      </c>
      <c r="M365" t="str">
        <f>"521.3"</f>
        <v>521.3</v>
      </c>
      <c r="N365" t="str">
        <f>"107.1"</f>
        <v>107.1</v>
      </c>
      <c r="O365" t="str">
        <f>"NPOC:107.9mg/L TN:20.54mg/L"</f>
        <v>NPOC:107.9mg/L TN:20.54mg/L</v>
      </c>
      <c r="P365">
        <v>0</v>
      </c>
      <c r="Q365" t="str">
        <f>"80"</f>
        <v>80</v>
      </c>
    </row>
    <row r="366" spans="1:17" x14ac:dyDescent="0.2">
      <c r="A366" t="str">
        <f>"Unknown"</f>
        <v>Unknown</v>
      </c>
      <c r="B366" t="str">
        <f>"NPOC/TN"</f>
        <v>NPOC/TN</v>
      </c>
      <c r="C366" t="str">
        <f>"1050"</f>
        <v>1050</v>
      </c>
      <c r="D366" t="str">
        <f>"33"</f>
        <v>33</v>
      </c>
      <c r="E366" t="str">
        <f>"C:\TOC3201\Methods\Itamar\acid_sample.met"</f>
        <v>C:\TOC3201\Methods\Itamar\acid_sample.met</v>
      </c>
      <c r="F366" t="str">
        <f>"C:\TOC3201\CalCurves\Itamar\C_cal_100ppm_acid_laurel.2019_08_15_10_24_40.cal"</f>
        <v>C:\TOC3201\CalCurves\Itamar\C_cal_100ppm_acid_laurel.2019_08_15_10_24_40.cal</v>
      </c>
      <c r="G366">
        <v>1</v>
      </c>
      <c r="H366" t="str">
        <f>""</f>
        <v/>
      </c>
      <c r="I366" t="str">
        <f>"8/16/2019 3:48:09 AM"</f>
        <v>8/16/2019 3:48:09 AM</v>
      </c>
      <c r="J366" t="str">
        <f>"1"</f>
        <v>1</v>
      </c>
      <c r="K366" t="str">
        <f>"2"</f>
        <v>2</v>
      </c>
      <c r="L366" t="str">
        <f>"NPOC"</f>
        <v>NPOC</v>
      </c>
      <c r="M366" t="str">
        <f>"502.5"</f>
        <v>502.5</v>
      </c>
      <c r="N366" t="str">
        <f>"103.2"</f>
        <v>103.2</v>
      </c>
      <c r="O366" t="str">
        <f>"NPOC:107.9mg/L TN:20.54mg/L"</f>
        <v>NPOC:107.9mg/L TN:20.54mg/L</v>
      </c>
      <c r="P366">
        <v>1</v>
      </c>
      <c r="Q366" t="str">
        <f>"80"</f>
        <v>80</v>
      </c>
    </row>
    <row r="367" spans="1:17" x14ac:dyDescent="0.2">
      <c r="A367" t="str">
        <f>"Unknown"</f>
        <v>Unknown</v>
      </c>
      <c r="B367" t="str">
        <f>"NPOC/TN"</f>
        <v>NPOC/TN</v>
      </c>
      <c r="C367" t="str">
        <f>"1050"</f>
        <v>1050</v>
      </c>
      <c r="D367" t="str">
        <f>"33"</f>
        <v>33</v>
      </c>
      <c r="E367" t="str">
        <f>"C:\TOC3201\Methods\Itamar\acid_sample.met"</f>
        <v>C:\TOC3201\Methods\Itamar\acid_sample.met</v>
      </c>
      <c r="F367" t="str">
        <f>"C:\TOC3201\CalCurves\Itamar\C_cal_100ppm_acid_laurel.2019_08_15_10_24_40.cal"</f>
        <v>C:\TOC3201\CalCurves\Itamar\C_cal_100ppm_acid_laurel.2019_08_15_10_24_40.cal</v>
      </c>
      <c r="G367">
        <v>1</v>
      </c>
      <c r="H367" t="str">
        <f>""</f>
        <v/>
      </c>
      <c r="I367" t="str">
        <f>"8/16/2019 3:52:20 AM"</f>
        <v>8/16/2019 3:52:20 AM</v>
      </c>
      <c r="J367" t="str">
        <f>"1"</f>
        <v>1</v>
      </c>
      <c r="K367" t="str">
        <f>"3"</f>
        <v>3</v>
      </c>
      <c r="L367" t="str">
        <f>"NPOC"</f>
        <v>NPOC</v>
      </c>
      <c r="M367" t="str">
        <f>"529.6"</f>
        <v>529.6</v>
      </c>
      <c r="N367" t="str">
        <f>"108.8"</f>
        <v>108.8</v>
      </c>
      <c r="O367" t="str">
        <f>"NPOC:107.9mg/L TN:20.54mg/L"</f>
        <v>NPOC:107.9mg/L TN:20.54mg/L</v>
      </c>
      <c r="P367">
        <v>0</v>
      </c>
      <c r="Q367" t="str">
        <f>"80"</f>
        <v>80</v>
      </c>
    </row>
    <row r="368" spans="1:17" x14ac:dyDescent="0.2">
      <c r="A368" t="str">
        <f>"Unknown"</f>
        <v>Unknown</v>
      </c>
      <c r="B368" t="str">
        <f>"NPOC/TN"</f>
        <v>NPOC/TN</v>
      </c>
      <c r="C368" t="str">
        <f>"1050"</f>
        <v>1050</v>
      </c>
      <c r="D368" t="str">
        <f>"33"</f>
        <v>33</v>
      </c>
      <c r="E368" t="str">
        <f>"C:\TOC3201\Methods\Itamar\acid_sample.met"</f>
        <v>C:\TOC3201\Methods\Itamar\acid_sample.met</v>
      </c>
      <c r="F368" t="str">
        <f>"C:\TOC3201\CalCurves\Itamar\C_cal_100ppm_acid_laurel.2019_08_15_10_24_40.cal"</f>
        <v>C:\TOC3201\CalCurves\Itamar\C_cal_100ppm_acid_laurel.2019_08_15_10_24_40.cal</v>
      </c>
      <c r="G368">
        <v>1</v>
      </c>
      <c r="H368" t="str">
        <f>""</f>
        <v/>
      </c>
      <c r="I368" t="str">
        <f>"8/16/2019 3:56:25 AM"</f>
        <v>8/16/2019 3:56:25 AM</v>
      </c>
      <c r="J368" t="str">
        <f>"1"</f>
        <v>1</v>
      </c>
      <c r="K368" t="str">
        <f>"4"</f>
        <v>4</v>
      </c>
      <c r="L368" t="str">
        <f>"NPOC"</f>
        <v>NPOC</v>
      </c>
      <c r="M368" t="str">
        <f>"524.9"</f>
        <v>524.9</v>
      </c>
      <c r="N368" t="str">
        <f>"107.8"</f>
        <v>107.8</v>
      </c>
      <c r="O368" t="str">
        <f>"NPOC:107.9mg/L TN:20.54mg/L"</f>
        <v>NPOC:107.9mg/L TN:20.54mg/L</v>
      </c>
      <c r="P368">
        <v>0</v>
      </c>
      <c r="Q368" t="str">
        <f>"80"</f>
        <v>80</v>
      </c>
    </row>
    <row r="369" spans="1:17" x14ac:dyDescent="0.2">
      <c r="A369" t="str">
        <f>"Unknown"</f>
        <v>Unknown</v>
      </c>
      <c r="B369" t="str">
        <f>"NPOC/TN"</f>
        <v>NPOC/TN</v>
      </c>
      <c r="C369" t="str">
        <f>"1050"</f>
        <v>1050</v>
      </c>
      <c r="D369" t="str">
        <f>"33"</f>
        <v>33</v>
      </c>
      <c r="E369" t="str">
        <f>"C:\TOC3201\Methods\Itamar\acid_sample.met"</f>
        <v>C:\TOC3201\Methods\Itamar\acid_sample.met</v>
      </c>
      <c r="F369" t="str">
        <f>"C:\TOC3201\CalCurves\Itamar\N_cal_25ppm_acid_laurel.2019_08_15_12_20_41.cal"</f>
        <v>C:\TOC3201\CalCurves\Itamar\N_cal_25ppm_acid_laurel.2019_08_15_12_20_41.cal</v>
      </c>
      <c r="G369">
        <v>1</v>
      </c>
      <c r="H369" t="str">
        <f>""</f>
        <v/>
      </c>
      <c r="I369" t="str">
        <f>"8/16/2019 3:44:07 AM"</f>
        <v>8/16/2019 3:44:07 AM</v>
      </c>
      <c r="J369" t="str">
        <f>"1"</f>
        <v>1</v>
      </c>
      <c r="K369" t="str">
        <f>"1"</f>
        <v>1</v>
      </c>
      <c r="L369" t="str">
        <f>"TN"</f>
        <v>TN</v>
      </c>
      <c r="M369" t="str">
        <f>"79.06"</f>
        <v>79.06</v>
      </c>
      <c r="N369" t="str">
        <f>"20.31"</f>
        <v>20.31</v>
      </c>
      <c r="O369" t="str">
        <f>"NPOC:107.9mg/L TN:20.54mg/L"</f>
        <v>NPOC:107.9mg/L TN:20.54mg/L</v>
      </c>
      <c r="P369">
        <v>0</v>
      </c>
      <c r="Q369" t="str">
        <f>"80"</f>
        <v>80</v>
      </c>
    </row>
    <row r="370" spans="1:17" x14ac:dyDescent="0.2">
      <c r="A370" t="str">
        <f>"Unknown"</f>
        <v>Unknown</v>
      </c>
      <c r="B370" t="str">
        <f>"NPOC/TN"</f>
        <v>NPOC/TN</v>
      </c>
      <c r="C370" t="str">
        <f>"1050"</f>
        <v>1050</v>
      </c>
      <c r="D370" t="str">
        <f>"33"</f>
        <v>33</v>
      </c>
      <c r="E370" t="str">
        <f>"C:\TOC3201\Methods\Itamar\acid_sample.met"</f>
        <v>C:\TOC3201\Methods\Itamar\acid_sample.met</v>
      </c>
      <c r="F370" t="str">
        <f>"C:\TOC3201\CalCurves\Itamar\N_cal_25ppm_acid_laurel.2019_08_15_12_20_41.cal"</f>
        <v>C:\TOC3201\CalCurves\Itamar\N_cal_25ppm_acid_laurel.2019_08_15_12_20_41.cal</v>
      </c>
      <c r="G370">
        <v>1</v>
      </c>
      <c r="H370" t="str">
        <f>""</f>
        <v/>
      </c>
      <c r="I370" t="str">
        <f>"8/16/2019 3:48:09 AM"</f>
        <v>8/16/2019 3:48:09 AM</v>
      </c>
      <c r="J370" t="str">
        <f>"1"</f>
        <v>1</v>
      </c>
      <c r="K370" t="str">
        <f>"2"</f>
        <v>2</v>
      </c>
      <c r="L370" t="str">
        <f>"TN"</f>
        <v>TN</v>
      </c>
      <c r="M370" t="str">
        <f>"76.60"</f>
        <v>76.60</v>
      </c>
      <c r="N370" t="str">
        <f>"19.68"</f>
        <v>19.68</v>
      </c>
      <c r="O370" t="str">
        <f>"NPOC:107.9mg/L TN:20.54mg/L"</f>
        <v>NPOC:107.9mg/L TN:20.54mg/L</v>
      </c>
      <c r="P370">
        <v>1</v>
      </c>
      <c r="Q370" t="str">
        <f>"80"</f>
        <v>80</v>
      </c>
    </row>
    <row r="371" spans="1:17" x14ac:dyDescent="0.2">
      <c r="A371" t="str">
        <f>"Unknown"</f>
        <v>Unknown</v>
      </c>
      <c r="B371" t="str">
        <f>"NPOC/TN"</f>
        <v>NPOC/TN</v>
      </c>
      <c r="C371" t="str">
        <f>"1050"</f>
        <v>1050</v>
      </c>
      <c r="D371" t="str">
        <f>"33"</f>
        <v>33</v>
      </c>
      <c r="E371" t="str">
        <f>"C:\TOC3201\Methods\Itamar\acid_sample.met"</f>
        <v>C:\TOC3201\Methods\Itamar\acid_sample.met</v>
      </c>
      <c r="F371" t="str">
        <f>"C:\TOC3201\CalCurves\Itamar\N_cal_25ppm_acid_laurel.2019_08_15_12_20_41.cal"</f>
        <v>C:\TOC3201\CalCurves\Itamar\N_cal_25ppm_acid_laurel.2019_08_15_12_20_41.cal</v>
      </c>
      <c r="G371">
        <v>1</v>
      </c>
      <c r="H371" t="str">
        <f>""</f>
        <v/>
      </c>
      <c r="I371" t="str">
        <f>"8/16/2019 3:52:20 AM"</f>
        <v>8/16/2019 3:52:20 AM</v>
      </c>
      <c r="J371" t="str">
        <f>"1"</f>
        <v>1</v>
      </c>
      <c r="K371" t="str">
        <f>"3"</f>
        <v>3</v>
      </c>
      <c r="L371" t="str">
        <f>"TN"</f>
        <v>TN</v>
      </c>
      <c r="M371" t="str">
        <f>"81.27"</f>
        <v>81.27</v>
      </c>
      <c r="N371" t="str">
        <f>"20.87"</f>
        <v>20.87</v>
      </c>
      <c r="O371" t="str">
        <f>"NPOC:107.9mg/L TN:20.54mg/L"</f>
        <v>NPOC:107.9mg/L TN:20.54mg/L</v>
      </c>
      <c r="P371">
        <v>0</v>
      </c>
      <c r="Q371" t="str">
        <f>"80"</f>
        <v>80</v>
      </c>
    </row>
    <row r="372" spans="1:17" x14ac:dyDescent="0.2">
      <c r="A372" t="str">
        <f>"Unknown"</f>
        <v>Unknown</v>
      </c>
      <c r="B372" t="str">
        <f>"NPOC/TN"</f>
        <v>NPOC/TN</v>
      </c>
      <c r="C372" t="str">
        <f>"1050"</f>
        <v>1050</v>
      </c>
      <c r="D372" t="str">
        <f>"33"</f>
        <v>33</v>
      </c>
      <c r="E372" t="str">
        <f>"C:\TOC3201\Methods\Itamar\acid_sample.met"</f>
        <v>C:\TOC3201\Methods\Itamar\acid_sample.met</v>
      </c>
      <c r="F372" t="str">
        <f>"C:\TOC3201\CalCurves\Itamar\N_cal_25ppm_acid_laurel.2019_08_15_12_20_41.cal"</f>
        <v>C:\TOC3201\CalCurves\Itamar\N_cal_25ppm_acid_laurel.2019_08_15_12_20_41.cal</v>
      </c>
      <c r="G372">
        <v>1</v>
      </c>
      <c r="H372" t="str">
        <f>""</f>
        <v/>
      </c>
      <c r="I372" t="str">
        <f>"8/16/2019 3:56:25 AM"</f>
        <v>8/16/2019 3:56:25 AM</v>
      </c>
      <c r="J372" t="str">
        <f>"1"</f>
        <v>1</v>
      </c>
      <c r="K372" t="str">
        <f>"4"</f>
        <v>4</v>
      </c>
      <c r="L372" t="str">
        <f>"TN"</f>
        <v>TN</v>
      </c>
      <c r="M372" t="str">
        <f>"79.61"</f>
        <v>79.61</v>
      </c>
      <c r="N372" t="str">
        <f>"20.45"</f>
        <v>20.45</v>
      </c>
      <c r="O372" t="str">
        <f>"NPOC:107.9mg/L TN:20.54mg/L"</f>
        <v>NPOC:107.9mg/L TN:20.54mg/L</v>
      </c>
      <c r="P372">
        <v>0</v>
      </c>
      <c r="Q372" t="str">
        <f>"80"</f>
        <v>80</v>
      </c>
    </row>
    <row r="373" spans="1:17" x14ac:dyDescent="0.2">
      <c r="A373" t="str">
        <f>"Unknown"</f>
        <v>Unknown</v>
      </c>
      <c r="B373" t="str">
        <f>"NPOC/TN"</f>
        <v>NPOC/TN</v>
      </c>
      <c r="C373" t="str">
        <f>"DI"</f>
        <v>DI</v>
      </c>
      <c r="D373" t="str">
        <f>"DI"</f>
        <v>DI</v>
      </c>
      <c r="E373" t="str">
        <f>"C:\TOC3201\Methods\Itamar\acid_sample.met"</f>
        <v>C:\TOC3201\Methods\Itamar\acid_sample.met</v>
      </c>
      <c r="F373" t="str">
        <f>"C:\TOC3201\CalCurves\Itamar\C_cal_100ppm_acid_laurel.2019_08_15_10_24_40.cal"</f>
        <v>C:\TOC3201\CalCurves\Itamar\C_cal_100ppm_acid_laurel.2019_08_15_10_24_40.cal</v>
      </c>
      <c r="G373">
        <v>1</v>
      </c>
      <c r="H373" t="str">
        <f>""</f>
        <v/>
      </c>
      <c r="I373" t="str">
        <f>"8/16/2019 4:05:31 AM"</f>
        <v>8/16/2019 4:05:31 AM</v>
      </c>
      <c r="J373" t="str">
        <f>"1"</f>
        <v>1</v>
      </c>
      <c r="K373" t="str">
        <f>"1"</f>
        <v>1</v>
      </c>
      <c r="L373" t="str">
        <f>"NPOC"</f>
        <v>NPOC</v>
      </c>
      <c r="M373" t="str">
        <f>"1.162"</f>
        <v>1.162</v>
      </c>
      <c r="N373" t="str">
        <f>"0.2986"</f>
        <v>0.2986</v>
      </c>
      <c r="O373" t="str">
        <f>"NPOC:0.1974mg/L TN:0.1609mg/L"</f>
        <v>NPOC:0.1974mg/L TN:0.1609mg/L</v>
      </c>
      <c r="P373">
        <v>1</v>
      </c>
      <c r="Q373" t="str">
        <f>"80"</f>
        <v>80</v>
      </c>
    </row>
    <row r="374" spans="1:17" x14ac:dyDescent="0.2">
      <c r="A374" t="str">
        <f>"Unknown"</f>
        <v>Unknown</v>
      </c>
      <c r="B374" t="str">
        <f>"NPOC/TN"</f>
        <v>NPOC/TN</v>
      </c>
      <c r="C374" t="str">
        <f>"DI"</f>
        <v>DI</v>
      </c>
      <c r="D374" t="str">
        <f>"DI"</f>
        <v>DI</v>
      </c>
      <c r="E374" t="str">
        <f>"C:\TOC3201\Methods\Itamar\acid_sample.met"</f>
        <v>C:\TOC3201\Methods\Itamar\acid_sample.met</v>
      </c>
      <c r="F374" t="str">
        <f>"C:\TOC3201\CalCurves\Itamar\C_cal_100ppm_acid_laurel.2019_08_15_10_24_40.cal"</f>
        <v>C:\TOC3201\CalCurves\Itamar\C_cal_100ppm_acid_laurel.2019_08_15_10_24_40.cal</v>
      </c>
      <c r="G374">
        <v>1</v>
      </c>
      <c r="H374" t="str">
        <f>""</f>
        <v/>
      </c>
      <c r="I374" t="str">
        <f>"8/16/2019 4:07:48 AM"</f>
        <v>8/16/2019 4:07:48 AM</v>
      </c>
      <c r="J374" t="str">
        <f>"1"</f>
        <v>1</v>
      </c>
      <c r="K374" t="str">
        <f>"2"</f>
        <v>2</v>
      </c>
      <c r="L374" t="str">
        <f>"NPOC"</f>
        <v>NPOC</v>
      </c>
      <c r="M374" t="str">
        <f>"0.6640"</f>
        <v>0.6640</v>
      </c>
      <c r="N374" t="str">
        <f>"0.1964"</f>
        <v>0.1964</v>
      </c>
      <c r="O374" t="str">
        <f>"NPOC:0.1974mg/L TN:0.1609mg/L"</f>
        <v>NPOC:0.1974mg/L TN:0.1609mg/L</v>
      </c>
      <c r="P374">
        <v>0</v>
      </c>
      <c r="Q374" t="str">
        <f>"80"</f>
        <v>80</v>
      </c>
    </row>
    <row r="375" spans="1:17" x14ac:dyDescent="0.2">
      <c r="A375" t="str">
        <f>"Unknown"</f>
        <v>Unknown</v>
      </c>
      <c r="B375" t="str">
        <f>"NPOC/TN"</f>
        <v>NPOC/TN</v>
      </c>
      <c r="C375" t="str">
        <f>"DI"</f>
        <v>DI</v>
      </c>
      <c r="D375" t="str">
        <f>"DI"</f>
        <v>DI</v>
      </c>
      <c r="E375" t="str">
        <f>"C:\TOC3201\Methods\Itamar\acid_sample.met"</f>
        <v>C:\TOC3201\Methods\Itamar\acid_sample.met</v>
      </c>
      <c r="F375" t="str">
        <f>"C:\TOC3201\CalCurves\Itamar\C_cal_100ppm_acid_laurel.2019_08_15_10_24_40.cal"</f>
        <v>C:\TOC3201\CalCurves\Itamar\C_cal_100ppm_acid_laurel.2019_08_15_10_24_40.cal</v>
      </c>
      <c r="G375">
        <v>1</v>
      </c>
      <c r="H375" t="str">
        <f>""</f>
        <v/>
      </c>
      <c r="I375" t="str">
        <f>"8/16/2019 4:10:04 AM"</f>
        <v>8/16/2019 4:10:04 AM</v>
      </c>
      <c r="J375" t="str">
        <f>"1"</f>
        <v>1</v>
      </c>
      <c r="K375" t="str">
        <f>"3"</f>
        <v>3</v>
      </c>
      <c r="L375" t="str">
        <f>"NPOC"</f>
        <v>NPOC</v>
      </c>
      <c r="M375" t="str">
        <f>"0.5958"</f>
        <v>0.5958</v>
      </c>
      <c r="N375" t="str">
        <f>"0.1824"</f>
        <v>0.1824</v>
      </c>
      <c r="O375" t="str">
        <f>"NPOC:0.1974mg/L TN:0.1609mg/L"</f>
        <v>NPOC:0.1974mg/L TN:0.1609mg/L</v>
      </c>
      <c r="P375">
        <v>0</v>
      </c>
      <c r="Q375" t="str">
        <f>"80"</f>
        <v>80</v>
      </c>
    </row>
    <row r="376" spans="1:17" x14ac:dyDescent="0.2">
      <c r="A376" t="str">
        <f>"Unknown"</f>
        <v>Unknown</v>
      </c>
      <c r="B376" t="str">
        <f>"NPOC/TN"</f>
        <v>NPOC/TN</v>
      </c>
      <c r="C376" t="str">
        <f>"DI"</f>
        <v>DI</v>
      </c>
      <c r="D376" t="str">
        <f>"DI"</f>
        <v>DI</v>
      </c>
      <c r="E376" t="str">
        <f>"C:\TOC3201\Methods\Itamar\acid_sample.met"</f>
        <v>C:\TOC3201\Methods\Itamar\acid_sample.met</v>
      </c>
      <c r="F376" t="str">
        <f>"C:\TOC3201\CalCurves\Itamar\C_cal_100ppm_acid_laurel.2019_08_15_10_24_40.cal"</f>
        <v>C:\TOC3201\CalCurves\Itamar\C_cal_100ppm_acid_laurel.2019_08_15_10_24_40.cal</v>
      </c>
      <c r="G376">
        <v>1</v>
      </c>
      <c r="H376" t="str">
        <f>""</f>
        <v/>
      </c>
      <c r="I376" t="str">
        <f>"8/16/2019 4:12:20 AM"</f>
        <v>8/16/2019 4:12:20 AM</v>
      </c>
      <c r="J376" t="str">
        <f>"1"</f>
        <v>1</v>
      </c>
      <c r="K376" t="str">
        <f>"4"</f>
        <v>4</v>
      </c>
      <c r="L376" t="str">
        <f>"NPOC"</f>
        <v>NPOC</v>
      </c>
      <c r="M376" t="str">
        <f>"0.7475"</f>
        <v>0.7475</v>
      </c>
      <c r="N376" t="str">
        <f>"0.2135"</f>
        <v>0.2135</v>
      </c>
      <c r="O376" t="str">
        <f>"NPOC:0.1974mg/L TN:0.1609mg/L"</f>
        <v>NPOC:0.1974mg/L TN:0.1609mg/L</v>
      </c>
      <c r="P376">
        <v>0</v>
      </c>
      <c r="Q376" t="str">
        <f>"80"</f>
        <v>80</v>
      </c>
    </row>
    <row r="377" spans="1:17" x14ac:dyDescent="0.2">
      <c r="A377" t="str">
        <f>"Unknown"</f>
        <v>Unknown</v>
      </c>
      <c r="B377" t="str">
        <f>"NPOC/TN"</f>
        <v>NPOC/TN</v>
      </c>
      <c r="C377" t="str">
        <f>"DI"</f>
        <v>DI</v>
      </c>
      <c r="D377" t="str">
        <f>"DI"</f>
        <v>DI</v>
      </c>
      <c r="E377" t="str">
        <f>"C:\TOC3201\Methods\Itamar\acid_sample.met"</f>
        <v>C:\TOC3201\Methods\Itamar\acid_sample.met</v>
      </c>
      <c r="F377" t="str">
        <f>"C:\TOC3201\CalCurves\Itamar\N_cal_25ppm_acid_laurel.2019_08_15_12_20_41.cal"</f>
        <v>C:\TOC3201\CalCurves\Itamar\N_cal_25ppm_acid_laurel.2019_08_15_12_20_41.cal</v>
      </c>
      <c r="G377">
        <v>1</v>
      </c>
      <c r="H377" t="str">
        <f>""</f>
        <v/>
      </c>
      <c r="I377" t="str">
        <f>"8/16/2019 4:05:31 AM"</f>
        <v>8/16/2019 4:05:31 AM</v>
      </c>
      <c r="J377" t="str">
        <f>"1"</f>
        <v>1</v>
      </c>
      <c r="K377" t="str">
        <f>"1"</f>
        <v>1</v>
      </c>
      <c r="L377" t="str">
        <f>"TN"</f>
        <v>TN</v>
      </c>
      <c r="M377" t="str">
        <f>"0.000"</f>
        <v>0.000</v>
      </c>
      <c r="N377" t="str">
        <f>"0.1609"</f>
        <v>0.1609</v>
      </c>
      <c r="O377" t="str">
        <f>"NPOC:0.1974mg/L TN:0.1609mg/L"</f>
        <v>NPOC:0.1974mg/L TN:0.1609mg/L</v>
      </c>
      <c r="P377">
        <v>0</v>
      </c>
      <c r="Q377" t="str">
        <f>"80"</f>
        <v>80</v>
      </c>
    </row>
    <row r="378" spans="1:17" x14ac:dyDescent="0.2">
      <c r="A378" t="str">
        <f>"Unknown"</f>
        <v>Unknown</v>
      </c>
      <c r="B378" t="str">
        <f>"NPOC/TN"</f>
        <v>NPOC/TN</v>
      </c>
      <c r="C378" t="str">
        <f>"DI"</f>
        <v>DI</v>
      </c>
      <c r="D378" t="str">
        <f>"DI"</f>
        <v>DI</v>
      </c>
      <c r="E378" t="str">
        <f>"C:\TOC3201\Methods\Itamar\acid_sample.met"</f>
        <v>C:\TOC3201\Methods\Itamar\acid_sample.met</v>
      </c>
      <c r="F378" t="str">
        <f>"C:\TOC3201\CalCurves\Itamar\N_cal_25ppm_acid_laurel.2019_08_15_12_20_41.cal"</f>
        <v>C:\TOC3201\CalCurves\Itamar\N_cal_25ppm_acid_laurel.2019_08_15_12_20_41.cal</v>
      </c>
      <c r="G378">
        <v>1</v>
      </c>
      <c r="H378" t="str">
        <f>""</f>
        <v/>
      </c>
      <c r="I378" t="str">
        <f>"8/16/2019 4:07:48 AM"</f>
        <v>8/16/2019 4:07:48 AM</v>
      </c>
      <c r="J378" t="str">
        <f>"1"</f>
        <v>1</v>
      </c>
      <c r="K378" t="str">
        <f>"2"</f>
        <v>2</v>
      </c>
      <c r="L378" t="str">
        <f>"TN"</f>
        <v>TN</v>
      </c>
      <c r="M378" t="str">
        <f>"0.000"</f>
        <v>0.000</v>
      </c>
      <c r="N378" t="str">
        <f>"0.1609"</f>
        <v>0.1609</v>
      </c>
      <c r="O378" t="str">
        <f>"NPOC:0.1974mg/L TN:0.1609mg/L"</f>
        <v>NPOC:0.1974mg/L TN:0.1609mg/L</v>
      </c>
      <c r="P378">
        <v>0</v>
      </c>
      <c r="Q378" t="str">
        <f>"80"</f>
        <v>80</v>
      </c>
    </row>
    <row r="379" spans="1:17" x14ac:dyDescent="0.2">
      <c r="A379" t="str">
        <f>"Unknown"</f>
        <v>Unknown</v>
      </c>
      <c r="B379" t="str">
        <f>"NPOC/TN"</f>
        <v>NPOC/TN</v>
      </c>
      <c r="C379" t="str">
        <f>"DI"</f>
        <v>DI</v>
      </c>
      <c r="D379" t="str">
        <f>"DI"</f>
        <v>DI</v>
      </c>
      <c r="E379" t="str">
        <f>"C:\TOC3201\Methods\Itamar\acid_sample.met"</f>
        <v>C:\TOC3201\Methods\Itamar\acid_sample.met</v>
      </c>
      <c r="F379" t="str">
        <f>"C:\TOC3201\CalCurves\Itamar\N_cal_25ppm_acid_laurel.2019_08_15_12_20_41.cal"</f>
        <v>C:\TOC3201\CalCurves\Itamar\N_cal_25ppm_acid_laurel.2019_08_15_12_20_41.cal</v>
      </c>
      <c r="G379">
        <v>1</v>
      </c>
      <c r="H379" t="str">
        <f>""</f>
        <v/>
      </c>
      <c r="I379" t="str">
        <f>"8/16/2019 4:10:04 AM"</f>
        <v>8/16/2019 4:10:04 AM</v>
      </c>
      <c r="J379" t="str">
        <f>"1"</f>
        <v>1</v>
      </c>
      <c r="K379" t="str">
        <f>"3"</f>
        <v>3</v>
      </c>
      <c r="L379" t="str">
        <f>"TN"</f>
        <v>TN</v>
      </c>
      <c r="M379" t="str">
        <f>"0.000"</f>
        <v>0.000</v>
      </c>
      <c r="N379" t="str">
        <f>"0.1609"</f>
        <v>0.1609</v>
      </c>
      <c r="O379" t="str">
        <f>"NPOC:0.1974mg/L TN:0.1609mg/L"</f>
        <v>NPOC:0.1974mg/L TN:0.1609mg/L</v>
      </c>
      <c r="P379">
        <v>0</v>
      </c>
      <c r="Q379" t="str">
        <f>"80"</f>
        <v>80</v>
      </c>
    </row>
    <row r="380" spans="1:17" x14ac:dyDescent="0.2">
      <c r="A380" t="str">
        <f>"Unknown"</f>
        <v>Unknown</v>
      </c>
      <c r="B380" t="str">
        <f>"NPOC/TN"</f>
        <v>NPOC/TN</v>
      </c>
      <c r="C380" t="str">
        <f>"25ppm"</f>
        <v>25ppm</v>
      </c>
      <c r="D380" t="str">
        <f>"25ppm"</f>
        <v>25ppm</v>
      </c>
      <c r="E380" t="str">
        <f>"C:\TOC3201\Methods\Itamar\acid_sample.met"</f>
        <v>C:\TOC3201\Methods\Itamar\acid_sample.met</v>
      </c>
      <c r="F380" t="str">
        <f>"C:\TOC3201\CalCurves\Itamar\C_standard.2019_06_24_14_52_38.cal"</f>
        <v>C:\TOC3201\CalCurves\Itamar\C_standard.2019_06_24_14_52_38.cal</v>
      </c>
      <c r="G380">
        <v>1</v>
      </c>
      <c r="H380" t="str">
        <f>""</f>
        <v/>
      </c>
      <c r="I380" t="str">
        <f>"8/16/2019 4:22:28 AM"</f>
        <v>8/16/2019 4:22:28 AM</v>
      </c>
      <c r="J380" t="str">
        <f>"1"</f>
        <v>1</v>
      </c>
      <c r="K380" t="str">
        <f>"1"</f>
        <v>1</v>
      </c>
      <c r="L380" t="str">
        <f>"NPOC"</f>
        <v>NPOC</v>
      </c>
      <c r="M380" t="str">
        <f>"115.3"</f>
        <v>115.3</v>
      </c>
      <c r="N380" t="str">
        <f>"33.46"</f>
        <v>33.46</v>
      </c>
      <c r="O380" t="str">
        <f>"NPOC:33.75mg/L TN:25.30mg/L"</f>
        <v>NPOC:33.75mg/L TN:25.30mg/L</v>
      </c>
      <c r="P380">
        <v>0</v>
      </c>
      <c r="Q380" t="str">
        <f>"80"</f>
        <v>80</v>
      </c>
    </row>
    <row r="381" spans="1:17" x14ac:dyDescent="0.2">
      <c r="A381" t="str">
        <f>"Unknown"</f>
        <v>Unknown</v>
      </c>
      <c r="B381" t="str">
        <f>"NPOC/TN"</f>
        <v>NPOC/TN</v>
      </c>
      <c r="C381" t="str">
        <f>"25ppm"</f>
        <v>25ppm</v>
      </c>
      <c r="D381" t="str">
        <f>"25ppm"</f>
        <v>25ppm</v>
      </c>
      <c r="E381" t="str">
        <f>"C:\TOC3201\Methods\Itamar\acid_sample.met"</f>
        <v>C:\TOC3201\Methods\Itamar\acid_sample.met</v>
      </c>
      <c r="F381" t="str">
        <f>"C:\TOC3201\CalCurves\Itamar\C_standard.2019_06_24_14_52_38.cal"</f>
        <v>C:\TOC3201\CalCurves\Itamar\C_standard.2019_06_24_14_52_38.cal</v>
      </c>
      <c r="G381">
        <v>1</v>
      </c>
      <c r="H381" t="str">
        <f>""</f>
        <v/>
      </c>
      <c r="I381" t="str">
        <f>"8/16/2019 4:26:03 AM"</f>
        <v>8/16/2019 4:26:03 AM</v>
      </c>
      <c r="J381" t="str">
        <f>"1"</f>
        <v>1</v>
      </c>
      <c r="K381" t="str">
        <f>"2"</f>
        <v>2</v>
      </c>
      <c r="L381" t="str">
        <f>"NPOC"</f>
        <v>NPOC</v>
      </c>
      <c r="M381" t="str">
        <f>"109.7"</f>
        <v>109.7</v>
      </c>
      <c r="N381" t="str">
        <f>"38.37"</f>
        <v>38.37</v>
      </c>
      <c r="O381" t="str">
        <f>"NPOC:33.75mg/L TN:25.30mg/L"</f>
        <v>NPOC:33.75mg/L TN:25.30mg/L</v>
      </c>
      <c r="P381">
        <v>1</v>
      </c>
      <c r="Q381" t="str">
        <f>"80"</f>
        <v>80</v>
      </c>
    </row>
    <row r="382" spans="1:17" x14ac:dyDescent="0.2">
      <c r="A382" t="str">
        <f>"Unknown"</f>
        <v>Unknown</v>
      </c>
      <c r="B382" t="str">
        <f>"NPOC/TN"</f>
        <v>NPOC/TN</v>
      </c>
      <c r="C382" t="str">
        <f>"25ppm"</f>
        <v>25ppm</v>
      </c>
      <c r="D382" t="str">
        <f>"25ppm"</f>
        <v>25ppm</v>
      </c>
      <c r="E382" t="str">
        <f>"C:\TOC3201\Methods\Itamar\acid_sample.met"</f>
        <v>C:\TOC3201\Methods\Itamar\acid_sample.met</v>
      </c>
      <c r="F382" t="str">
        <f>"C:\TOC3201\CalCurves\Itamar\C_standard.2019_06_24_14_52_38.cal"</f>
        <v>C:\TOC3201\CalCurves\Itamar\C_standard.2019_06_24_14_52_38.cal</v>
      </c>
      <c r="G382">
        <v>1</v>
      </c>
      <c r="H382" t="str">
        <f>""</f>
        <v/>
      </c>
      <c r="I382" t="str">
        <f>"8/16/2019 4:29:33 AM"</f>
        <v>8/16/2019 4:29:33 AM</v>
      </c>
      <c r="J382" t="str">
        <f>"1"</f>
        <v>1</v>
      </c>
      <c r="K382" t="str">
        <f>"3"</f>
        <v>3</v>
      </c>
      <c r="L382" t="str">
        <f>"NPOC"</f>
        <v>NPOC</v>
      </c>
      <c r="M382" t="str">
        <f>"114.4"</f>
        <v>114.4</v>
      </c>
      <c r="N382" t="str">
        <f>"34.25"</f>
        <v>34.25</v>
      </c>
      <c r="O382" t="str">
        <f>"NPOC:33.75mg/L TN:25.30mg/L"</f>
        <v>NPOC:33.75mg/L TN:25.30mg/L</v>
      </c>
      <c r="P382">
        <v>0</v>
      </c>
      <c r="Q382" t="str">
        <f>"80"</f>
        <v>80</v>
      </c>
    </row>
    <row r="383" spans="1:17" x14ac:dyDescent="0.2">
      <c r="A383" t="str">
        <f>"Unknown"</f>
        <v>Unknown</v>
      </c>
      <c r="B383" t="str">
        <f>"NPOC/TN"</f>
        <v>NPOC/TN</v>
      </c>
      <c r="C383" t="str">
        <f>"25ppm"</f>
        <v>25ppm</v>
      </c>
      <c r="D383" t="str">
        <f>"25ppm"</f>
        <v>25ppm</v>
      </c>
      <c r="E383" t="str">
        <f>"C:\TOC3201\Methods\Itamar\acid_sample.met"</f>
        <v>C:\TOC3201\Methods\Itamar\acid_sample.met</v>
      </c>
      <c r="F383" t="str">
        <f>"C:\TOC3201\CalCurves\Itamar\C_standard.2019_06_24_14_52_38.cal"</f>
        <v>C:\TOC3201\CalCurves\Itamar\C_standard.2019_06_24_14_52_38.cal</v>
      </c>
      <c r="G383">
        <v>1</v>
      </c>
      <c r="H383" t="str">
        <f>""</f>
        <v/>
      </c>
      <c r="I383" t="str">
        <f>"8/16/2019 4:33:07 AM"</f>
        <v>8/16/2019 4:33:07 AM</v>
      </c>
      <c r="J383" t="str">
        <f>"1"</f>
        <v>1</v>
      </c>
      <c r="K383" t="str">
        <f>"4"</f>
        <v>4</v>
      </c>
      <c r="L383" t="str">
        <f>"NPOC"</f>
        <v>NPOC</v>
      </c>
      <c r="M383" t="str">
        <f>"115.2"</f>
        <v>115.2</v>
      </c>
      <c r="N383" t="str">
        <f>"33.55"</f>
        <v>33.55</v>
      </c>
      <c r="O383" t="str">
        <f>"NPOC:33.75mg/L TN:25.30mg/L"</f>
        <v>NPOC:33.75mg/L TN:25.30mg/L</v>
      </c>
      <c r="P383">
        <v>0</v>
      </c>
      <c r="Q383" t="str">
        <f>"80"</f>
        <v>80</v>
      </c>
    </row>
    <row r="384" spans="1:17" x14ac:dyDescent="0.2">
      <c r="A384" t="str">
        <f>"Unknown"</f>
        <v>Unknown</v>
      </c>
      <c r="B384" t="str">
        <f>"NPOC/TN"</f>
        <v>NPOC/TN</v>
      </c>
      <c r="C384" t="str">
        <f>"25ppm"</f>
        <v>25ppm</v>
      </c>
      <c r="D384" t="str">
        <f>"25ppm"</f>
        <v>25ppm</v>
      </c>
      <c r="E384" t="str">
        <f>"C:\TOC3201\Methods\Itamar\acid_sample.met"</f>
        <v>C:\TOC3201\Methods\Itamar\acid_sample.met</v>
      </c>
      <c r="F384" t="str">
        <f>"C:\TOC3201\CalCurves\Itamar\N_cal_25ppm_acid_laurel.2019_08_15_12_20_41.cal"</f>
        <v>C:\TOC3201\CalCurves\Itamar\N_cal_25ppm_acid_laurel.2019_08_15_12_20_41.cal</v>
      </c>
      <c r="G384">
        <v>1</v>
      </c>
      <c r="H384" t="str">
        <f>""</f>
        <v/>
      </c>
      <c r="I384" t="str">
        <f>"8/16/2019 4:22:28 AM"</f>
        <v>8/16/2019 4:22:28 AM</v>
      </c>
      <c r="J384" t="str">
        <f>"1"</f>
        <v>1</v>
      </c>
      <c r="K384" t="str">
        <f>"1"</f>
        <v>1</v>
      </c>
      <c r="L384" t="str">
        <f>"TN"</f>
        <v>TN</v>
      </c>
      <c r="M384" t="str">
        <f>"99.22"</f>
        <v>99.22</v>
      </c>
      <c r="N384" t="str">
        <f>"25.44"</f>
        <v>25.44</v>
      </c>
      <c r="O384" t="str">
        <f>"NPOC:33.75mg/L TN:25.30mg/L"</f>
        <v>NPOC:33.75mg/L TN:25.30mg/L</v>
      </c>
      <c r="P384">
        <v>0</v>
      </c>
      <c r="Q384" t="str">
        <f>"80"</f>
        <v>80</v>
      </c>
    </row>
    <row r="385" spans="1:17" x14ac:dyDescent="0.2">
      <c r="A385" t="str">
        <f>"Unknown"</f>
        <v>Unknown</v>
      </c>
      <c r="B385" t="str">
        <f>"NPOC/TN"</f>
        <v>NPOC/TN</v>
      </c>
      <c r="C385" t="str">
        <f>"25ppm"</f>
        <v>25ppm</v>
      </c>
      <c r="D385" t="str">
        <f>"25ppm"</f>
        <v>25ppm</v>
      </c>
      <c r="E385" t="str">
        <f>"C:\TOC3201\Methods\Itamar\acid_sample.met"</f>
        <v>C:\TOC3201\Methods\Itamar\acid_sample.met</v>
      </c>
      <c r="F385" t="str">
        <f>"C:\TOC3201\CalCurves\Itamar\N_cal_25ppm_acid_laurel.2019_08_15_12_20_41.cal"</f>
        <v>C:\TOC3201\CalCurves\Itamar\N_cal_25ppm_acid_laurel.2019_08_15_12_20_41.cal</v>
      </c>
      <c r="G385">
        <v>1</v>
      </c>
      <c r="H385" t="str">
        <f>""</f>
        <v/>
      </c>
      <c r="I385" t="str">
        <f>"8/16/2019 4:26:03 AM"</f>
        <v>8/16/2019 4:26:03 AM</v>
      </c>
      <c r="J385" t="str">
        <f>"1"</f>
        <v>1</v>
      </c>
      <c r="K385" t="str">
        <f>"2"</f>
        <v>2</v>
      </c>
      <c r="L385" t="str">
        <f>"TN"</f>
        <v>TN</v>
      </c>
      <c r="M385" t="str">
        <f>"95.31"</f>
        <v>95.31</v>
      </c>
      <c r="N385" t="str">
        <f>"24.45"</f>
        <v>24.45</v>
      </c>
      <c r="O385" t="str">
        <f>"NPOC:33.75mg/L TN:25.30mg/L"</f>
        <v>NPOC:33.75mg/L TN:25.30mg/L</v>
      </c>
      <c r="P385">
        <v>1</v>
      </c>
      <c r="Q385" t="str">
        <f>"80"</f>
        <v>80</v>
      </c>
    </row>
    <row r="386" spans="1:17" x14ac:dyDescent="0.2">
      <c r="A386" t="str">
        <f>"Unknown"</f>
        <v>Unknown</v>
      </c>
      <c r="B386" t="str">
        <f>"NPOC/TN"</f>
        <v>NPOC/TN</v>
      </c>
      <c r="C386" t="str">
        <f>"25ppm"</f>
        <v>25ppm</v>
      </c>
      <c r="D386" t="str">
        <f>"25ppm"</f>
        <v>25ppm</v>
      </c>
      <c r="E386" t="str">
        <f>"C:\TOC3201\Methods\Itamar\acid_sample.met"</f>
        <v>C:\TOC3201\Methods\Itamar\acid_sample.met</v>
      </c>
      <c r="F386" t="str">
        <f>"C:\TOC3201\CalCurves\Itamar\N_cal_25ppm_acid_laurel.2019_08_15_12_20_41.cal"</f>
        <v>C:\TOC3201\CalCurves\Itamar\N_cal_25ppm_acid_laurel.2019_08_15_12_20_41.cal</v>
      </c>
      <c r="G386">
        <v>1</v>
      </c>
      <c r="H386" t="str">
        <f>""</f>
        <v/>
      </c>
      <c r="I386" t="str">
        <f>"8/16/2019 4:29:33 AM"</f>
        <v>8/16/2019 4:29:33 AM</v>
      </c>
      <c r="J386" t="str">
        <f>"1"</f>
        <v>1</v>
      </c>
      <c r="K386" t="str">
        <f>"3"</f>
        <v>3</v>
      </c>
      <c r="L386" t="str">
        <f>"TN"</f>
        <v>TN</v>
      </c>
      <c r="M386" t="str">
        <f>"98.59"</f>
        <v>98.59</v>
      </c>
      <c r="N386" t="str">
        <f>"25.28"</f>
        <v>25.28</v>
      </c>
      <c r="O386" t="str">
        <f>"NPOC:33.75mg/L TN:25.30mg/L"</f>
        <v>NPOC:33.75mg/L TN:25.30mg/L</v>
      </c>
      <c r="P386">
        <v>0</v>
      </c>
      <c r="Q386" t="str">
        <f>"80"</f>
        <v>80</v>
      </c>
    </row>
    <row r="387" spans="1:17" x14ac:dyDescent="0.2">
      <c r="A387" t="str">
        <f>"Unknown"</f>
        <v>Unknown</v>
      </c>
      <c r="B387" t="str">
        <f>"NPOC/TN"</f>
        <v>NPOC/TN</v>
      </c>
      <c r="C387" t="str">
        <f>"25ppm"</f>
        <v>25ppm</v>
      </c>
      <c r="D387" t="str">
        <f>"25ppm"</f>
        <v>25ppm</v>
      </c>
      <c r="E387" t="str">
        <f>"C:\TOC3201\Methods\Itamar\acid_sample.met"</f>
        <v>C:\TOC3201\Methods\Itamar\acid_sample.met</v>
      </c>
      <c r="F387" t="str">
        <f>"C:\TOC3201\CalCurves\Itamar\N_cal_25ppm_acid_laurel.2019_08_15_12_20_41.cal"</f>
        <v>C:\TOC3201\CalCurves\Itamar\N_cal_25ppm_acid_laurel.2019_08_15_12_20_41.cal</v>
      </c>
      <c r="G387">
        <v>1</v>
      </c>
      <c r="H387" t="str">
        <f>""</f>
        <v/>
      </c>
      <c r="I387" t="str">
        <f>"8/16/2019 4:33:07 AM"</f>
        <v>8/16/2019 4:33:07 AM</v>
      </c>
      <c r="J387" t="str">
        <f>"1"</f>
        <v>1</v>
      </c>
      <c r="K387" t="str">
        <f>"4"</f>
        <v>4</v>
      </c>
      <c r="L387" t="str">
        <f>"TN"</f>
        <v>TN</v>
      </c>
      <c r="M387" t="str">
        <f>"98.22"</f>
        <v>98.22</v>
      </c>
      <c r="N387" t="str">
        <f>"25.19"</f>
        <v>25.19</v>
      </c>
      <c r="O387" t="str">
        <f>"NPOC:33.75mg/L TN:25.30mg/L"</f>
        <v>NPOC:33.75mg/L TN:25.30mg/L</v>
      </c>
      <c r="P387">
        <v>0</v>
      </c>
      <c r="Q387" t="str">
        <f>"80"</f>
        <v>80</v>
      </c>
    </row>
    <row r="388" spans="1:17" x14ac:dyDescent="0.2">
      <c r="A388" t="str">
        <f>"Unknown"</f>
        <v>Unknown</v>
      </c>
      <c r="B388" t="str">
        <f>"NPOC/TN"</f>
        <v>NPOC/TN</v>
      </c>
      <c r="C388" t="str">
        <f>"1052"</f>
        <v>1052</v>
      </c>
      <c r="D388" t="str">
        <f>"34"</f>
        <v>34</v>
      </c>
      <c r="E388" t="str">
        <f>"C:\TOC3201\Methods\Itamar\acid_sample.met"</f>
        <v>C:\TOC3201\Methods\Itamar\acid_sample.met</v>
      </c>
      <c r="F388" t="str">
        <f>"C:\TOC3201\CalCurves\Itamar\C_cal_100ppm_acid_laurel.2019_08_15_10_24_40.cal"</f>
        <v>C:\TOC3201\CalCurves\Itamar\C_cal_100ppm_acid_laurel.2019_08_15_10_24_40.cal</v>
      </c>
      <c r="G388">
        <v>1</v>
      </c>
      <c r="H388" t="str">
        <f>""</f>
        <v/>
      </c>
      <c r="I388" t="str">
        <f>"8/16/2019 4:43:37 AM"</f>
        <v>8/16/2019 4:43:37 AM</v>
      </c>
      <c r="J388" t="str">
        <f>"1"</f>
        <v>1</v>
      </c>
      <c r="K388" t="str">
        <f>"1"</f>
        <v>1</v>
      </c>
      <c r="L388" t="str">
        <f>"NPOC"</f>
        <v>NPOC</v>
      </c>
      <c r="M388" t="str">
        <f>"120.8"</f>
        <v>120.8</v>
      </c>
      <c r="N388" t="str">
        <f>"24.87"</f>
        <v>24.87</v>
      </c>
      <c r="O388" t="str">
        <f>"NPOC:25.28mg/L TN:4.233mg/L"</f>
        <v>NPOC:25.28mg/L TN:4.233mg/L</v>
      </c>
      <c r="P388">
        <v>0</v>
      </c>
      <c r="Q388" t="str">
        <f>"80"</f>
        <v>80</v>
      </c>
    </row>
    <row r="389" spans="1:17" x14ac:dyDescent="0.2">
      <c r="A389" t="str">
        <f>"Unknown"</f>
        <v>Unknown</v>
      </c>
      <c r="B389" t="str">
        <f>"NPOC/TN"</f>
        <v>NPOC/TN</v>
      </c>
      <c r="C389" t="str">
        <f>"1052"</f>
        <v>1052</v>
      </c>
      <c r="D389" t="str">
        <f>"34"</f>
        <v>34</v>
      </c>
      <c r="E389" t="str">
        <f>"C:\TOC3201\Methods\Itamar\acid_sample.met"</f>
        <v>C:\TOC3201\Methods\Itamar\acid_sample.met</v>
      </c>
      <c r="F389" t="str">
        <f>"C:\TOC3201\CalCurves\Itamar\C_cal_100ppm_acid_laurel.2019_08_15_10_24_40.cal"</f>
        <v>C:\TOC3201\CalCurves\Itamar\C_cal_100ppm_acid_laurel.2019_08_15_10_24_40.cal</v>
      </c>
      <c r="G389">
        <v>1</v>
      </c>
      <c r="H389" t="str">
        <f>""</f>
        <v/>
      </c>
      <c r="I389" t="str">
        <f>"8/16/2019 4:47:25 AM"</f>
        <v>8/16/2019 4:47:25 AM</v>
      </c>
      <c r="J389" t="str">
        <f>"1"</f>
        <v>1</v>
      </c>
      <c r="K389" t="str">
        <f>"2"</f>
        <v>2</v>
      </c>
      <c r="L389" t="str">
        <f>"NPOC"</f>
        <v>NPOC</v>
      </c>
      <c r="M389" t="str">
        <f>"118.7"</f>
        <v>118.7</v>
      </c>
      <c r="N389" t="str">
        <f>"24.44"</f>
        <v>24.44</v>
      </c>
      <c r="O389" t="str">
        <f>"NPOC:25.28mg/L TN:4.233mg/L"</f>
        <v>NPOC:25.28mg/L TN:4.233mg/L</v>
      </c>
      <c r="P389">
        <v>1</v>
      </c>
      <c r="Q389" t="str">
        <f>"80"</f>
        <v>80</v>
      </c>
    </row>
    <row r="390" spans="1:17" x14ac:dyDescent="0.2">
      <c r="A390" t="str">
        <f>"Unknown"</f>
        <v>Unknown</v>
      </c>
      <c r="B390" t="str">
        <f>"NPOC/TN"</f>
        <v>NPOC/TN</v>
      </c>
      <c r="C390" t="str">
        <f>"1052"</f>
        <v>1052</v>
      </c>
      <c r="D390" t="str">
        <f>"34"</f>
        <v>34</v>
      </c>
      <c r="E390" t="str">
        <f>"C:\TOC3201\Methods\Itamar\acid_sample.met"</f>
        <v>C:\TOC3201\Methods\Itamar\acid_sample.met</v>
      </c>
      <c r="F390" t="str">
        <f>"C:\TOC3201\CalCurves\Itamar\C_cal_100ppm_acid_laurel.2019_08_15_10_24_40.cal"</f>
        <v>C:\TOC3201\CalCurves\Itamar\C_cal_100ppm_acid_laurel.2019_08_15_10_24_40.cal</v>
      </c>
      <c r="G390">
        <v>1</v>
      </c>
      <c r="H390" t="str">
        <f>""</f>
        <v/>
      </c>
      <c r="I390" t="str">
        <f>"8/16/2019 4:51:17 AM"</f>
        <v>8/16/2019 4:51:17 AM</v>
      </c>
      <c r="J390" t="str">
        <f>"1"</f>
        <v>1</v>
      </c>
      <c r="K390" t="str">
        <f>"3"</f>
        <v>3</v>
      </c>
      <c r="L390" t="str">
        <f>"NPOC"</f>
        <v>NPOC</v>
      </c>
      <c r="M390" t="str">
        <f>"124.8"</f>
        <v>124.8</v>
      </c>
      <c r="N390" t="str">
        <f>"25.69"</f>
        <v>25.69</v>
      </c>
      <c r="O390" t="str">
        <f>"NPOC:25.28mg/L TN:4.233mg/L"</f>
        <v>NPOC:25.28mg/L TN:4.233mg/L</v>
      </c>
      <c r="P390">
        <v>0</v>
      </c>
      <c r="Q390" t="str">
        <f>"80"</f>
        <v>80</v>
      </c>
    </row>
    <row r="391" spans="1:17" x14ac:dyDescent="0.2">
      <c r="A391" t="str">
        <f>"Unknown"</f>
        <v>Unknown</v>
      </c>
      <c r="B391" t="str">
        <f>"NPOC/TN"</f>
        <v>NPOC/TN</v>
      </c>
      <c r="C391" t="str">
        <f>"1052"</f>
        <v>1052</v>
      </c>
      <c r="D391" t="str">
        <f>"34"</f>
        <v>34</v>
      </c>
      <c r="E391" t="str">
        <f>"C:\TOC3201\Methods\Itamar\acid_sample.met"</f>
        <v>C:\TOC3201\Methods\Itamar\acid_sample.met</v>
      </c>
      <c r="F391" t="str">
        <f>"C:\TOC3201\CalCurves\Itamar\C_cal_100ppm_acid_laurel.2019_08_15_10_24_40.cal"</f>
        <v>C:\TOC3201\CalCurves\Itamar\C_cal_100ppm_acid_laurel.2019_08_15_10_24_40.cal</v>
      </c>
      <c r="G391">
        <v>1</v>
      </c>
      <c r="H391" t="str">
        <f>""</f>
        <v/>
      </c>
      <c r="I391" t="str">
        <f>"8/16/2019 4:55:07 AM"</f>
        <v>8/16/2019 4:55:07 AM</v>
      </c>
      <c r="J391" t="str">
        <f>"1"</f>
        <v>1</v>
      </c>
      <c r="K391" t="str">
        <f>"4"</f>
        <v>4</v>
      </c>
      <c r="L391" t="str">
        <f>"NPOC"</f>
        <v>NPOC</v>
      </c>
      <c r="M391" t="str">
        <f>"122.8"</f>
        <v>122.8</v>
      </c>
      <c r="N391" t="str">
        <f>"25.28"</f>
        <v>25.28</v>
      </c>
      <c r="O391" t="str">
        <f>"NPOC:25.28mg/L TN:4.233mg/L"</f>
        <v>NPOC:25.28mg/L TN:4.233mg/L</v>
      </c>
      <c r="P391">
        <v>0</v>
      </c>
      <c r="Q391" t="str">
        <f>"80"</f>
        <v>80</v>
      </c>
    </row>
    <row r="392" spans="1:17" x14ac:dyDescent="0.2">
      <c r="A392" t="str">
        <f>"Unknown"</f>
        <v>Unknown</v>
      </c>
      <c r="B392" t="str">
        <f>"NPOC/TN"</f>
        <v>NPOC/TN</v>
      </c>
      <c r="C392" t="str">
        <f>"1052"</f>
        <v>1052</v>
      </c>
      <c r="D392" t="str">
        <f>"34"</f>
        <v>34</v>
      </c>
      <c r="E392" t="str">
        <f>"C:\TOC3201\Methods\Itamar\acid_sample.met"</f>
        <v>C:\TOC3201\Methods\Itamar\acid_sample.met</v>
      </c>
      <c r="F392" t="str">
        <f>"C:\TOC3201\CalCurves\Itamar\N_cal_25ppm_acid_laurel.2019_08_15_12_20_41.cal"</f>
        <v>C:\TOC3201\CalCurves\Itamar\N_cal_25ppm_acid_laurel.2019_08_15_12_20_41.cal</v>
      </c>
      <c r="G392">
        <v>1</v>
      </c>
      <c r="H392" t="str">
        <f>""</f>
        <v/>
      </c>
      <c r="I392" t="str">
        <f>"8/16/2019 4:43:37 AM"</f>
        <v>8/16/2019 4:43:37 AM</v>
      </c>
      <c r="J392" t="str">
        <f>"1"</f>
        <v>1</v>
      </c>
      <c r="K392" t="str">
        <f>"1"</f>
        <v>1</v>
      </c>
      <c r="L392" t="str">
        <f>"TN"</f>
        <v>TN</v>
      </c>
      <c r="M392" t="str">
        <f>"15.32"</f>
        <v>15.32</v>
      </c>
      <c r="N392" t="str">
        <f>"4.064"</f>
        <v>4.064</v>
      </c>
      <c r="O392" t="str">
        <f>"NPOC:25.28mg/L TN:4.233mg/L"</f>
        <v>NPOC:25.28mg/L TN:4.233mg/L</v>
      </c>
      <c r="P392">
        <v>1</v>
      </c>
      <c r="Q392" t="str">
        <f>"80"</f>
        <v>80</v>
      </c>
    </row>
    <row r="393" spans="1:17" x14ac:dyDescent="0.2">
      <c r="A393" t="str">
        <f>"Unknown"</f>
        <v>Unknown</v>
      </c>
      <c r="B393" t="str">
        <f>"NPOC/TN"</f>
        <v>NPOC/TN</v>
      </c>
      <c r="C393" t="str">
        <f>"1052"</f>
        <v>1052</v>
      </c>
      <c r="D393" t="str">
        <f>"34"</f>
        <v>34</v>
      </c>
      <c r="E393" t="str">
        <f>"C:\TOC3201\Methods\Itamar\acid_sample.met"</f>
        <v>C:\TOC3201\Methods\Itamar\acid_sample.met</v>
      </c>
      <c r="F393" t="str">
        <f>"C:\TOC3201\CalCurves\Itamar\N_cal_25ppm_acid_laurel.2019_08_15_12_20_41.cal"</f>
        <v>C:\TOC3201\CalCurves\Itamar\N_cal_25ppm_acid_laurel.2019_08_15_12_20_41.cal</v>
      </c>
      <c r="G393">
        <v>1</v>
      </c>
      <c r="H393" t="str">
        <f>""</f>
        <v/>
      </c>
      <c r="I393" t="str">
        <f>"8/16/2019 4:47:25 AM"</f>
        <v>8/16/2019 4:47:25 AM</v>
      </c>
      <c r="J393" t="str">
        <f>"1"</f>
        <v>1</v>
      </c>
      <c r="K393" t="str">
        <f>"2"</f>
        <v>2</v>
      </c>
      <c r="L393" t="str">
        <f>"TN"</f>
        <v>TN</v>
      </c>
      <c r="M393" t="str">
        <f>"15.11"</f>
        <v>15.11</v>
      </c>
      <c r="N393" t="str">
        <f>"4.011"</f>
        <v>4.011</v>
      </c>
      <c r="O393" t="str">
        <f>"NPOC:25.28mg/L TN:4.233mg/L"</f>
        <v>NPOC:25.28mg/L TN:4.233mg/L</v>
      </c>
      <c r="P393">
        <v>1</v>
      </c>
      <c r="Q393" t="str">
        <f>"80"</f>
        <v>80</v>
      </c>
    </row>
    <row r="394" spans="1:17" x14ac:dyDescent="0.2">
      <c r="A394" t="str">
        <f>"Unknown"</f>
        <v>Unknown</v>
      </c>
      <c r="B394" t="str">
        <f>"NPOC/TN"</f>
        <v>NPOC/TN</v>
      </c>
      <c r="C394" t="str">
        <f>"1052"</f>
        <v>1052</v>
      </c>
      <c r="D394" t="str">
        <f>"34"</f>
        <v>34</v>
      </c>
      <c r="E394" t="str">
        <f>"C:\TOC3201\Methods\Itamar\acid_sample.met"</f>
        <v>C:\TOC3201\Methods\Itamar\acid_sample.met</v>
      </c>
      <c r="F394" t="str">
        <f>"C:\TOC3201\CalCurves\Itamar\N_cal_25ppm_acid_laurel.2019_08_15_12_20_41.cal"</f>
        <v>C:\TOC3201\CalCurves\Itamar\N_cal_25ppm_acid_laurel.2019_08_15_12_20_41.cal</v>
      </c>
      <c r="G394">
        <v>1</v>
      </c>
      <c r="H394" t="str">
        <f>""</f>
        <v/>
      </c>
      <c r="I394" t="str">
        <f>"8/16/2019 4:51:17 AM"</f>
        <v>8/16/2019 4:51:17 AM</v>
      </c>
      <c r="J394" t="str">
        <f>"1"</f>
        <v>1</v>
      </c>
      <c r="K394" t="str">
        <f>"3"</f>
        <v>3</v>
      </c>
      <c r="L394" t="str">
        <f>"TN"</f>
        <v>TN</v>
      </c>
      <c r="M394" t="str">
        <f>"15.90"</f>
        <v>15.90</v>
      </c>
      <c r="N394" t="str">
        <f>"4.212"</f>
        <v>4.212</v>
      </c>
      <c r="O394" t="str">
        <f>"NPOC:25.28mg/L TN:4.233mg/L"</f>
        <v>NPOC:25.28mg/L TN:4.233mg/L</v>
      </c>
      <c r="P394">
        <v>0</v>
      </c>
      <c r="Q394" t="str">
        <f>"80"</f>
        <v>80</v>
      </c>
    </row>
    <row r="395" spans="1:17" x14ac:dyDescent="0.2">
      <c r="A395" t="str">
        <f>"Unknown"</f>
        <v>Unknown</v>
      </c>
      <c r="B395" t="str">
        <f>"NPOC/TN"</f>
        <v>NPOC/TN</v>
      </c>
      <c r="C395" t="str">
        <f>"1052"</f>
        <v>1052</v>
      </c>
      <c r="D395" t="str">
        <f>"34"</f>
        <v>34</v>
      </c>
      <c r="E395" t="str">
        <f>"C:\TOC3201\Methods\Itamar\acid_sample.met"</f>
        <v>C:\TOC3201\Methods\Itamar\acid_sample.met</v>
      </c>
      <c r="F395" t="str">
        <f>"C:\TOC3201\CalCurves\Itamar\N_cal_25ppm_acid_laurel.2019_08_15_12_20_41.cal"</f>
        <v>C:\TOC3201\CalCurves\Itamar\N_cal_25ppm_acid_laurel.2019_08_15_12_20_41.cal</v>
      </c>
      <c r="G395">
        <v>1</v>
      </c>
      <c r="H395" t="str">
        <f>""</f>
        <v/>
      </c>
      <c r="I395" t="str">
        <f>"8/16/2019 4:55:07 AM"</f>
        <v>8/16/2019 4:55:07 AM</v>
      </c>
      <c r="J395" t="str">
        <f>"1"</f>
        <v>1</v>
      </c>
      <c r="K395" t="str">
        <f>"4"</f>
        <v>4</v>
      </c>
      <c r="L395" t="str">
        <f>"TN"</f>
        <v>TN</v>
      </c>
      <c r="M395" t="str">
        <f>"16.18"</f>
        <v>16.18</v>
      </c>
      <c r="N395" t="str">
        <f>"4.284"</f>
        <v>4.284</v>
      </c>
      <c r="O395" t="str">
        <f>"NPOC:25.28mg/L TN:4.233mg/L"</f>
        <v>NPOC:25.28mg/L TN:4.233mg/L</v>
      </c>
      <c r="P395">
        <v>0</v>
      </c>
      <c r="Q395" t="str">
        <f>"80"</f>
        <v>80</v>
      </c>
    </row>
    <row r="396" spans="1:17" x14ac:dyDescent="0.2">
      <c r="A396" t="str">
        <f>"Unknown"</f>
        <v>Unknown</v>
      </c>
      <c r="B396" t="str">
        <f>"NPOC/TN"</f>
        <v>NPOC/TN</v>
      </c>
      <c r="C396" t="str">
        <f>"1052"</f>
        <v>1052</v>
      </c>
      <c r="D396" t="str">
        <f>"34"</f>
        <v>34</v>
      </c>
      <c r="E396" t="str">
        <f>"C:\TOC3201\Methods\Itamar\acid_sample.met"</f>
        <v>C:\TOC3201\Methods\Itamar\acid_sample.met</v>
      </c>
      <c r="F396" t="str">
        <f>"C:\TOC3201\CalCurves\Itamar\N_cal_25ppm_acid_laurel.2019_08_15_12_20_41.cal"</f>
        <v>C:\TOC3201\CalCurves\Itamar\N_cal_25ppm_acid_laurel.2019_08_15_12_20_41.cal</v>
      </c>
      <c r="G396">
        <v>1</v>
      </c>
      <c r="H396" t="str">
        <f>""</f>
        <v/>
      </c>
      <c r="I396" t="str">
        <f>"8/16/2019 4:58:29 AM"</f>
        <v>8/16/2019 4:58:29 AM</v>
      </c>
      <c r="J396" t="str">
        <f>"1"</f>
        <v>1</v>
      </c>
      <c r="K396" t="str">
        <f>"5"</f>
        <v>5</v>
      </c>
      <c r="L396" t="str">
        <f>"TN"</f>
        <v>TN</v>
      </c>
      <c r="M396" t="str">
        <f>"15.86"</f>
        <v>15.86</v>
      </c>
      <c r="N396" t="str">
        <f>"4.202"</f>
        <v>4.202</v>
      </c>
      <c r="O396" t="str">
        <f>"NPOC:25.28mg/L TN:4.233mg/L"</f>
        <v>NPOC:25.28mg/L TN:4.233mg/L</v>
      </c>
      <c r="P396">
        <v>0</v>
      </c>
      <c r="Q396" t="str">
        <f>"80"</f>
        <v>80</v>
      </c>
    </row>
    <row r="397" spans="1:17" x14ac:dyDescent="0.2">
      <c r="A397" t="str">
        <f>"Unknown"</f>
        <v>Unknown</v>
      </c>
      <c r="B397" t="str">
        <f>"NPOC/TN"</f>
        <v>NPOC/TN</v>
      </c>
      <c r="C397" t="str">
        <f>"1054"</f>
        <v>1054</v>
      </c>
      <c r="D397" t="str">
        <f>"35"</f>
        <v>35</v>
      </c>
      <c r="E397" t="str">
        <f>"C:\TOC3201\Methods\Itamar\acid_sample.met"</f>
        <v>C:\TOC3201\Methods\Itamar\acid_sample.met</v>
      </c>
      <c r="F397" t="str">
        <f>"C:\TOC3201\CalCurves\Itamar\C_cal_100ppm_acid_laurel.2019_08_15_10_24_40.cal"</f>
        <v>C:\TOC3201\CalCurves\Itamar\C_cal_100ppm_acid_laurel.2019_08_15_10_24_40.cal</v>
      </c>
      <c r="G397">
        <v>1</v>
      </c>
      <c r="H397" t="str">
        <f>""</f>
        <v/>
      </c>
      <c r="I397" t="str">
        <f>"8/16/2019 5:08:48 AM"</f>
        <v>8/16/2019 5:08:48 AM</v>
      </c>
      <c r="J397" t="str">
        <f>"1"</f>
        <v>1</v>
      </c>
      <c r="K397" t="str">
        <f>"1"</f>
        <v>1</v>
      </c>
      <c r="L397" t="str">
        <f>"NPOC"</f>
        <v>NPOC</v>
      </c>
      <c r="M397" t="str">
        <f>"133.2"</f>
        <v>133.2</v>
      </c>
      <c r="N397" t="str">
        <f>"27.41"</f>
        <v>27.41</v>
      </c>
      <c r="O397" t="str">
        <f>"NPOC:27.80mg/L TN:4.740mg/L"</f>
        <v>NPOC:27.80mg/L TN:4.740mg/L</v>
      </c>
      <c r="P397">
        <v>0</v>
      </c>
      <c r="Q397" t="str">
        <f>"80"</f>
        <v>80</v>
      </c>
    </row>
    <row r="398" spans="1:17" x14ac:dyDescent="0.2">
      <c r="A398" t="str">
        <f>"Unknown"</f>
        <v>Unknown</v>
      </c>
      <c r="B398" t="str">
        <f>"NPOC/TN"</f>
        <v>NPOC/TN</v>
      </c>
      <c r="C398" t="str">
        <f>"1054"</f>
        <v>1054</v>
      </c>
      <c r="D398" t="str">
        <f>"35"</f>
        <v>35</v>
      </c>
      <c r="E398" t="str">
        <f>"C:\TOC3201\Methods\Itamar\acid_sample.met"</f>
        <v>C:\TOC3201\Methods\Itamar\acid_sample.met</v>
      </c>
      <c r="F398" t="str">
        <f>"C:\TOC3201\CalCurves\Itamar\C_cal_100ppm_acid_laurel.2019_08_15_10_24_40.cal"</f>
        <v>C:\TOC3201\CalCurves\Itamar\C_cal_100ppm_acid_laurel.2019_08_15_10_24_40.cal</v>
      </c>
      <c r="G398">
        <v>1</v>
      </c>
      <c r="H398" t="str">
        <f>""</f>
        <v/>
      </c>
      <c r="I398" t="str">
        <f>"8/16/2019 5:12:38 AM"</f>
        <v>8/16/2019 5:12:38 AM</v>
      </c>
      <c r="J398" t="str">
        <f>"1"</f>
        <v>1</v>
      </c>
      <c r="K398" t="str">
        <f>"2"</f>
        <v>2</v>
      </c>
      <c r="L398" t="str">
        <f>"NPOC"</f>
        <v>NPOC</v>
      </c>
      <c r="M398" t="str">
        <f>"130.0"</f>
        <v>130.0</v>
      </c>
      <c r="N398" t="str">
        <f>"26.76"</f>
        <v>26.76</v>
      </c>
      <c r="O398" t="str">
        <f>"NPOC:27.80mg/L TN:4.740mg/L"</f>
        <v>NPOC:27.80mg/L TN:4.740mg/L</v>
      </c>
      <c r="P398">
        <v>1</v>
      </c>
      <c r="Q398" t="str">
        <f>"80"</f>
        <v>80</v>
      </c>
    </row>
    <row r="399" spans="1:17" x14ac:dyDescent="0.2">
      <c r="A399" t="str">
        <f>"Unknown"</f>
        <v>Unknown</v>
      </c>
      <c r="B399" t="str">
        <f>"NPOC/TN"</f>
        <v>NPOC/TN</v>
      </c>
      <c r="C399" t="str">
        <f>"1054"</f>
        <v>1054</v>
      </c>
      <c r="D399" t="str">
        <f>"35"</f>
        <v>35</v>
      </c>
      <c r="E399" t="str">
        <f>"C:\TOC3201\Methods\Itamar\acid_sample.met"</f>
        <v>C:\TOC3201\Methods\Itamar\acid_sample.met</v>
      </c>
      <c r="F399" t="str">
        <f>"C:\TOC3201\CalCurves\Itamar\C_cal_100ppm_acid_laurel.2019_08_15_10_24_40.cal"</f>
        <v>C:\TOC3201\CalCurves\Itamar\C_cal_100ppm_acid_laurel.2019_08_15_10_24_40.cal</v>
      </c>
      <c r="G399">
        <v>1</v>
      </c>
      <c r="H399" t="str">
        <f>""</f>
        <v/>
      </c>
      <c r="I399" t="str">
        <f>"8/16/2019 5:16:20 AM"</f>
        <v>8/16/2019 5:16:20 AM</v>
      </c>
      <c r="J399" t="str">
        <f>"1"</f>
        <v>1</v>
      </c>
      <c r="K399" t="str">
        <f>"3"</f>
        <v>3</v>
      </c>
      <c r="L399" t="str">
        <f>"NPOC"</f>
        <v>NPOC</v>
      </c>
      <c r="M399" t="str">
        <f>"135.8"</f>
        <v>135.8</v>
      </c>
      <c r="N399" t="str">
        <f>"27.95"</f>
        <v>27.95</v>
      </c>
      <c r="O399" t="str">
        <f>"NPOC:27.80mg/L TN:4.740mg/L"</f>
        <v>NPOC:27.80mg/L TN:4.740mg/L</v>
      </c>
      <c r="P399">
        <v>0</v>
      </c>
      <c r="Q399" t="str">
        <f>"80"</f>
        <v>80</v>
      </c>
    </row>
    <row r="400" spans="1:17" x14ac:dyDescent="0.2">
      <c r="A400" t="str">
        <f>"Unknown"</f>
        <v>Unknown</v>
      </c>
      <c r="B400" t="str">
        <f>"NPOC/TN"</f>
        <v>NPOC/TN</v>
      </c>
      <c r="C400" t="str">
        <f>"1054"</f>
        <v>1054</v>
      </c>
      <c r="D400" t="str">
        <f>"35"</f>
        <v>35</v>
      </c>
      <c r="E400" t="str">
        <f>"C:\TOC3201\Methods\Itamar\acid_sample.met"</f>
        <v>C:\TOC3201\Methods\Itamar\acid_sample.met</v>
      </c>
      <c r="F400" t="str">
        <f>"C:\TOC3201\CalCurves\Itamar\C_cal_100ppm_acid_laurel.2019_08_15_10_24_40.cal"</f>
        <v>C:\TOC3201\CalCurves\Itamar\C_cal_100ppm_acid_laurel.2019_08_15_10_24_40.cal</v>
      </c>
      <c r="G400">
        <v>1</v>
      </c>
      <c r="H400" t="str">
        <f>""</f>
        <v/>
      </c>
      <c r="I400" t="str">
        <f>"8/16/2019 5:20:05 AM"</f>
        <v>8/16/2019 5:20:05 AM</v>
      </c>
      <c r="J400" t="str">
        <f>"1"</f>
        <v>1</v>
      </c>
      <c r="K400" t="str">
        <f>"4"</f>
        <v>4</v>
      </c>
      <c r="L400" t="str">
        <f>"NPOC"</f>
        <v>NPOC</v>
      </c>
      <c r="M400" t="str">
        <f>"136.3"</f>
        <v>136.3</v>
      </c>
      <c r="N400" t="str">
        <f>"28.05"</f>
        <v>28.05</v>
      </c>
      <c r="O400" t="str">
        <f>"NPOC:27.80mg/L TN:4.740mg/L"</f>
        <v>NPOC:27.80mg/L TN:4.740mg/L</v>
      </c>
      <c r="P400">
        <v>0</v>
      </c>
      <c r="Q400" t="str">
        <f>"80"</f>
        <v>80</v>
      </c>
    </row>
    <row r="401" spans="1:17" x14ac:dyDescent="0.2">
      <c r="A401" t="str">
        <f>"Unknown"</f>
        <v>Unknown</v>
      </c>
      <c r="B401" t="str">
        <f>"NPOC/TN"</f>
        <v>NPOC/TN</v>
      </c>
      <c r="C401" t="str">
        <f>"1054"</f>
        <v>1054</v>
      </c>
      <c r="D401" t="str">
        <f>"35"</f>
        <v>35</v>
      </c>
      <c r="E401" t="str">
        <f>"C:\TOC3201\Methods\Itamar\acid_sample.met"</f>
        <v>C:\TOC3201\Methods\Itamar\acid_sample.met</v>
      </c>
      <c r="F401" t="str">
        <f>"C:\TOC3201\CalCurves\Itamar\N_cal_25ppm_acid_laurel.2019_08_15_12_20_41.cal"</f>
        <v>C:\TOC3201\CalCurves\Itamar\N_cal_25ppm_acid_laurel.2019_08_15_12_20_41.cal</v>
      </c>
      <c r="G401">
        <v>1</v>
      </c>
      <c r="H401" t="str">
        <f>""</f>
        <v/>
      </c>
      <c r="I401" t="str">
        <f>"8/16/2019 5:08:48 AM"</f>
        <v>8/16/2019 5:08:48 AM</v>
      </c>
      <c r="J401" t="str">
        <f>"1"</f>
        <v>1</v>
      </c>
      <c r="K401" t="str">
        <f>"1"</f>
        <v>1</v>
      </c>
      <c r="L401" t="str">
        <f>"TN"</f>
        <v>TN</v>
      </c>
      <c r="M401" t="str">
        <f>"18.26"</f>
        <v>18.26</v>
      </c>
      <c r="N401" t="str">
        <f>"4.814"</f>
        <v>4.814</v>
      </c>
      <c r="O401" t="str">
        <f>"NPOC:27.80mg/L TN:4.740mg/L"</f>
        <v>NPOC:27.80mg/L TN:4.740mg/L</v>
      </c>
      <c r="P401">
        <v>0</v>
      </c>
      <c r="Q401" t="str">
        <f>"80"</f>
        <v>80</v>
      </c>
    </row>
    <row r="402" spans="1:17" x14ac:dyDescent="0.2">
      <c r="A402" t="str">
        <f>"Unknown"</f>
        <v>Unknown</v>
      </c>
      <c r="B402" t="str">
        <f>"NPOC/TN"</f>
        <v>NPOC/TN</v>
      </c>
      <c r="C402" t="str">
        <f>"1054"</f>
        <v>1054</v>
      </c>
      <c r="D402" t="str">
        <f>"35"</f>
        <v>35</v>
      </c>
      <c r="E402" t="str">
        <f>"C:\TOC3201\Methods\Itamar\acid_sample.met"</f>
        <v>C:\TOC3201\Methods\Itamar\acid_sample.met</v>
      </c>
      <c r="F402" t="str">
        <f>"C:\TOC3201\CalCurves\Itamar\N_cal_25ppm_acid_laurel.2019_08_15_12_20_41.cal"</f>
        <v>C:\TOC3201\CalCurves\Itamar\N_cal_25ppm_acid_laurel.2019_08_15_12_20_41.cal</v>
      </c>
      <c r="G402">
        <v>1</v>
      </c>
      <c r="H402" t="str">
        <f>""</f>
        <v/>
      </c>
      <c r="I402" t="str">
        <f>"8/16/2019 5:12:38 AM"</f>
        <v>8/16/2019 5:12:38 AM</v>
      </c>
      <c r="J402" t="str">
        <f>"1"</f>
        <v>1</v>
      </c>
      <c r="K402" t="str">
        <f>"2"</f>
        <v>2</v>
      </c>
      <c r="L402" t="str">
        <f>"TN"</f>
        <v>TN</v>
      </c>
      <c r="M402" t="str">
        <f>"17.87"</f>
        <v>17.87</v>
      </c>
      <c r="N402" t="str">
        <f>"4.714"</f>
        <v>4.714</v>
      </c>
      <c r="O402" t="str">
        <f>"NPOC:27.80mg/L TN:4.740mg/L"</f>
        <v>NPOC:27.80mg/L TN:4.740mg/L</v>
      </c>
      <c r="P402">
        <v>0</v>
      </c>
      <c r="Q402" t="str">
        <f>"80"</f>
        <v>80</v>
      </c>
    </row>
    <row r="403" spans="1:17" x14ac:dyDescent="0.2">
      <c r="A403" t="str">
        <f>"Unknown"</f>
        <v>Unknown</v>
      </c>
      <c r="B403" t="str">
        <f>"NPOC/TN"</f>
        <v>NPOC/TN</v>
      </c>
      <c r="C403" t="str">
        <f>"1054"</f>
        <v>1054</v>
      </c>
      <c r="D403" t="str">
        <f>"35"</f>
        <v>35</v>
      </c>
      <c r="E403" t="str">
        <f>"C:\TOC3201\Methods\Itamar\acid_sample.met"</f>
        <v>C:\TOC3201\Methods\Itamar\acid_sample.met</v>
      </c>
      <c r="F403" t="str">
        <f>"C:\TOC3201\CalCurves\Itamar\N_cal_25ppm_acid_laurel.2019_08_15_12_20_41.cal"</f>
        <v>C:\TOC3201\CalCurves\Itamar\N_cal_25ppm_acid_laurel.2019_08_15_12_20_41.cal</v>
      </c>
      <c r="G403">
        <v>1</v>
      </c>
      <c r="H403" t="str">
        <f>""</f>
        <v/>
      </c>
      <c r="I403" t="str">
        <f>"8/16/2019 5:16:20 AM"</f>
        <v>8/16/2019 5:16:20 AM</v>
      </c>
      <c r="J403" t="str">
        <f>"1"</f>
        <v>1</v>
      </c>
      <c r="K403" t="str">
        <f>"3"</f>
        <v>3</v>
      </c>
      <c r="L403" t="str">
        <f>"TN"</f>
        <v>TN</v>
      </c>
      <c r="M403" t="str">
        <f>"19.00"</f>
        <v>19.00</v>
      </c>
      <c r="N403" t="str">
        <f>"5.002"</f>
        <v>5.002</v>
      </c>
      <c r="O403" t="str">
        <f>"NPOC:27.80mg/L TN:4.740mg/L"</f>
        <v>NPOC:27.80mg/L TN:4.740mg/L</v>
      </c>
      <c r="P403">
        <v>1</v>
      </c>
      <c r="Q403" t="str">
        <f>"80"</f>
        <v>80</v>
      </c>
    </row>
    <row r="404" spans="1:17" x14ac:dyDescent="0.2">
      <c r="A404" t="str">
        <f>"Unknown"</f>
        <v>Unknown</v>
      </c>
      <c r="B404" t="str">
        <f>"NPOC/TN"</f>
        <v>NPOC/TN</v>
      </c>
      <c r="C404" t="str">
        <f>"1054"</f>
        <v>1054</v>
      </c>
      <c r="D404" t="str">
        <f>"35"</f>
        <v>35</v>
      </c>
      <c r="E404" t="str">
        <f>"C:\TOC3201\Methods\Itamar\acid_sample.met"</f>
        <v>C:\TOC3201\Methods\Itamar\acid_sample.met</v>
      </c>
      <c r="F404" t="str">
        <f>"C:\TOC3201\CalCurves\Itamar\N_cal_25ppm_acid_laurel.2019_08_15_12_20_41.cal"</f>
        <v>C:\TOC3201\CalCurves\Itamar\N_cal_25ppm_acid_laurel.2019_08_15_12_20_41.cal</v>
      </c>
      <c r="G404">
        <v>1</v>
      </c>
      <c r="H404" t="str">
        <f>""</f>
        <v/>
      </c>
      <c r="I404" t="str">
        <f>"8/16/2019 5:20:05 AM"</f>
        <v>8/16/2019 5:20:05 AM</v>
      </c>
      <c r="J404" t="str">
        <f>"1"</f>
        <v>1</v>
      </c>
      <c r="K404" t="str">
        <f>"4"</f>
        <v>4</v>
      </c>
      <c r="L404" t="str">
        <f>"TN"</f>
        <v>TN</v>
      </c>
      <c r="M404" t="str">
        <f>"17.78"</f>
        <v>17.78</v>
      </c>
      <c r="N404" t="str">
        <f>"4.691"</f>
        <v>4.691</v>
      </c>
      <c r="O404" t="str">
        <f>"NPOC:27.80mg/L TN:4.740mg/L"</f>
        <v>NPOC:27.80mg/L TN:4.740mg/L</v>
      </c>
      <c r="P404">
        <v>0</v>
      </c>
      <c r="Q404" t="str">
        <f>"80"</f>
        <v>80</v>
      </c>
    </row>
    <row r="405" spans="1:17" x14ac:dyDescent="0.2">
      <c r="A405" t="str">
        <f>"Unknown"</f>
        <v>Unknown</v>
      </c>
      <c r="B405" t="str">
        <f>"NPOC/TN"</f>
        <v>NPOC/TN</v>
      </c>
      <c r="C405" t="str">
        <f>"1056"</f>
        <v>1056</v>
      </c>
      <c r="D405" t="str">
        <f>"36"</f>
        <v>36</v>
      </c>
      <c r="E405" t="str">
        <f>"C:\TOC3201\Methods\Itamar\acid_sample.met"</f>
        <v>C:\TOC3201\Methods\Itamar\acid_sample.met</v>
      </c>
      <c r="F405" t="str">
        <f>"C:\TOC3201\CalCurves\Itamar\C_cal_100ppm_acid_laurel.2019_08_15_10_24_40.cal"</f>
        <v>C:\TOC3201\CalCurves\Itamar\C_cal_100ppm_acid_laurel.2019_08_15_10_24_40.cal</v>
      </c>
      <c r="G405">
        <v>1</v>
      </c>
      <c r="H405" t="str">
        <f>""</f>
        <v/>
      </c>
      <c r="I405" t="str">
        <f>"8/16/2019 5:30:23 AM"</f>
        <v>8/16/2019 5:30:23 AM</v>
      </c>
      <c r="J405" t="str">
        <f>"1"</f>
        <v>1</v>
      </c>
      <c r="K405" t="str">
        <f>"1"</f>
        <v>1</v>
      </c>
      <c r="L405" t="str">
        <f>"NPOC"</f>
        <v>NPOC</v>
      </c>
      <c r="M405" t="str">
        <f>"139.0"</f>
        <v>139.0</v>
      </c>
      <c r="N405" t="str">
        <f>"28.60"</f>
        <v>28.60</v>
      </c>
      <c r="O405" t="str">
        <f>"NPOC:28.60mg/L TN:4.860mg/L"</f>
        <v>NPOC:28.60mg/L TN:4.860mg/L</v>
      </c>
      <c r="P405">
        <v>0</v>
      </c>
      <c r="Q405" t="str">
        <f>"80"</f>
        <v>80</v>
      </c>
    </row>
    <row r="406" spans="1:17" x14ac:dyDescent="0.2">
      <c r="A406" t="str">
        <f>"Unknown"</f>
        <v>Unknown</v>
      </c>
      <c r="B406" t="str">
        <f>"NPOC/TN"</f>
        <v>NPOC/TN</v>
      </c>
      <c r="C406" t="str">
        <f>"1056"</f>
        <v>1056</v>
      </c>
      <c r="D406" t="str">
        <f>"36"</f>
        <v>36</v>
      </c>
      <c r="E406" t="str">
        <f>"C:\TOC3201\Methods\Itamar\acid_sample.met"</f>
        <v>C:\TOC3201\Methods\Itamar\acid_sample.met</v>
      </c>
      <c r="F406" t="str">
        <f>"C:\TOC3201\CalCurves\Itamar\C_cal_100ppm_acid_laurel.2019_08_15_10_24_40.cal"</f>
        <v>C:\TOC3201\CalCurves\Itamar\C_cal_100ppm_acid_laurel.2019_08_15_10_24_40.cal</v>
      </c>
      <c r="G406">
        <v>1</v>
      </c>
      <c r="H406" t="str">
        <f>""</f>
        <v/>
      </c>
      <c r="I406" t="str">
        <f>"8/16/2019 5:34:25 AM"</f>
        <v>8/16/2019 5:34:25 AM</v>
      </c>
      <c r="J406" t="str">
        <f>"1"</f>
        <v>1</v>
      </c>
      <c r="K406" t="str">
        <f>"2"</f>
        <v>2</v>
      </c>
      <c r="L406" t="str">
        <f>"NPOC"</f>
        <v>NPOC</v>
      </c>
      <c r="M406" t="str">
        <f>"132.4"</f>
        <v>132.4</v>
      </c>
      <c r="N406" t="str">
        <f>"27.25"</f>
        <v>27.25</v>
      </c>
      <c r="O406" t="str">
        <f>"NPOC:28.60mg/L TN:4.860mg/L"</f>
        <v>NPOC:28.60mg/L TN:4.860mg/L</v>
      </c>
      <c r="P406">
        <v>1</v>
      </c>
      <c r="Q406" t="str">
        <f>"80"</f>
        <v>80</v>
      </c>
    </row>
    <row r="407" spans="1:17" x14ac:dyDescent="0.2">
      <c r="A407" t="str">
        <f>"Unknown"</f>
        <v>Unknown</v>
      </c>
      <c r="B407" t="str">
        <f>"NPOC/TN"</f>
        <v>NPOC/TN</v>
      </c>
      <c r="C407" t="str">
        <f>"1056"</f>
        <v>1056</v>
      </c>
      <c r="D407" t="str">
        <f>"36"</f>
        <v>36</v>
      </c>
      <c r="E407" t="str">
        <f>"C:\TOC3201\Methods\Itamar\acid_sample.met"</f>
        <v>C:\TOC3201\Methods\Itamar\acid_sample.met</v>
      </c>
      <c r="F407" t="str">
        <f>"C:\TOC3201\CalCurves\Itamar\C_cal_100ppm_acid_laurel.2019_08_15_10_24_40.cal"</f>
        <v>C:\TOC3201\CalCurves\Itamar\C_cal_100ppm_acid_laurel.2019_08_15_10_24_40.cal</v>
      </c>
      <c r="G407">
        <v>1</v>
      </c>
      <c r="H407" t="str">
        <f>""</f>
        <v/>
      </c>
      <c r="I407" t="str">
        <f>"8/16/2019 5:38:24 AM"</f>
        <v>8/16/2019 5:38:24 AM</v>
      </c>
      <c r="J407" t="str">
        <f>"1"</f>
        <v>1</v>
      </c>
      <c r="K407" t="str">
        <f>"3"</f>
        <v>3</v>
      </c>
      <c r="L407" t="str">
        <f>"NPOC"</f>
        <v>NPOC</v>
      </c>
      <c r="M407" t="str">
        <f>"140.5"</f>
        <v>140.5</v>
      </c>
      <c r="N407" t="str">
        <f>"28.91"</f>
        <v>28.91</v>
      </c>
      <c r="O407" t="str">
        <f>"NPOC:28.60mg/L TN:4.860mg/L"</f>
        <v>NPOC:28.60mg/L TN:4.860mg/L</v>
      </c>
      <c r="P407">
        <v>0</v>
      </c>
      <c r="Q407" t="str">
        <f>"80"</f>
        <v>80</v>
      </c>
    </row>
    <row r="408" spans="1:17" x14ac:dyDescent="0.2">
      <c r="A408" t="str">
        <f>"Unknown"</f>
        <v>Unknown</v>
      </c>
      <c r="B408" t="str">
        <f>"NPOC/TN"</f>
        <v>NPOC/TN</v>
      </c>
      <c r="C408" t="str">
        <f>"1056"</f>
        <v>1056</v>
      </c>
      <c r="D408" t="str">
        <f>"36"</f>
        <v>36</v>
      </c>
      <c r="E408" t="str">
        <f>"C:\TOC3201\Methods\Itamar\acid_sample.met"</f>
        <v>C:\TOC3201\Methods\Itamar\acid_sample.met</v>
      </c>
      <c r="F408" t="str">
        <f>"C:\TOC3201\CalCurves\Itamar\C_cal_100ppm_acid_laurel.2019_08_15_10_24_40.cal"</f>
        <v>C:\TOC3201\CalCurves\Itamar\C_cal_100ppm_acid_laurel.2019_08_15_10_24_40.cal</v>
      </c>
      <c r="G408">
        <v>1</v>
      </c>
      <c r="H408" t="str">
        <f>""</f>
        <v/>
      </c>
      <c r="I408" t="str">
        <f>"8/16/2019 5:42:15 AM"</f>
        <v>8/16/2019 5:42:15 AM</v>
      </c>
      <c r="J408" t="str">
        <f>"1"</f>
        <v>1</v>
      </c>
      <c r="K408" t="str">
        <f>"4"</f>
        <v>4</v>
      </c>
      <c r="L408" t="str">
        <f>"NPOC"</f>
        <v>NPOC</v>
      </c>
      <c r="M408" t="str">
        <f>"137.5"</f>
        <v>137.5</v>
      </c>
      <c r="N408" t="str">
        <f>"28.30"</f>
        <v>28.30</v>
      </c>
      <c r="O408" t="str">
        <f>"NPOC:28.60mg/L TN:4.860mg/L"</f>
        <v>NPOC:28.60mg/L TN:4.860mg/L</v>
      </c>
      <c r="P408">
        <v>0</v>
      </c>
      <c r="Q408" t="str">
        <f>"80"</f>
        <v>80</v>
      </c>
    </row>
    <row r="409" spans="1:17" x14ac:dyDescent="0.2">
      <c r="A409" t="str">
        <f>"Unknown"</f>
        <v>Unknown</v>
      </c>
      <c r="B409" t="str">
        <f>"NPOC/TN"</f>
        <v>NPOC/TN</v>
      </c>
      <c r="C409" t="str">
        <f>"1056"</f>
        <v>1056</v>
      </c>
      <c r="D409" t="str">
        <f>"36"</f>
        <v>36</v>
      </c>
      <c r="E409" t="str">
        <f>"C:\TOC3201\Methods\Itamar\acid_sample.met"</f>
        <v>C:\TOC3201\Methods\Itamar\acid_sample.met</v>
      </c>
      <c r="F409" t="str">
        <f>"C:\TOC3201\CalCurves\Itamar\N_cal_25ppm_acid_laurel.2019_08_15_12_20_41.cal"</f>
        <v>C:\TOC3201\CalCurves\Itamar\N_cal_25ppm_acid_laurel.2019_08_15_12_20_41.cal</v>
      </c>
      <c r="G409">
        <v>1</v>
      </c>
      <c r="H409" t="str">
        <f>""</f>
        <v/>
      </c>
      <c r="I409" t="str">
        <f>"8/16/2019 5:30:23 AM"</f>
        <v>8/16/2019 5:30:23 AM</v>
      </c>
      <c r="J409" t="str">
        <f>"1"</f>
        <v>1</v>
      </c>
      <c r="K409" t="str">
        <f>"1"</f>
        <v>1</v>
      </c>
      <c r="L409" t="str">
        <f>"TN"</f>
        <v>TN</v>
      </c>
      <c r="M409" t="str">
        <f>"18.70"</f>
        <v>18.70</v>
      </c>
      <c r="N409" t="str">
        <f>"4.926"</f>
        <v>4.926</v>
      </c>
      <c r="O409" t="str">
        <f>"NPOC:28.60mg/L TN:4.860mg/L"</f>
        <v>NPOC:28.60mg/L TN:4.860mg/L</v>
      </c>
      <c r="P409">
        <v>0</v>
      </c>
      <c r="Q409" t="str">
        <f>"80"</f>
        <v>80</v>
      </c>
    </row>
    <row r="410" spans="1:17" x14ac:dyDescent="0.2">
      <c r="A410" t="str">
        <f>"Unknown"</f>
        <v>Unknown</v>
      </c>
      <c r="B410" t="str">
        <f>"NPOC/TN"</f>
        <v>NPOC/TN</v>
      </c>
      <c r="C410" t="str">
        <f>"1056"</f>
        <v>1056</v>
      </c>
      <c r="D410" t="str">
        <f>"36"</f>
        <v>36</v>
      </c>
      <c r="E410" t="str">
        <f>"C:\TOC3201\Methods\Itamar\acid_sample.met"</f>
        <v>C:\TOC3201\Methods\Itamar\acid_sample.met</v>
      </c>
      <c r="F410" t="str">
        <f>"C:\TOC3201\CalCurves\Itamar\N_cal_25ppm_acid_laurel.2019_08_15_12_20_41.cal"</f>
        <v>C:\TOC3201\CalCurves\Itamar\N_cal_25ppm_acid_laurel.2019_08_15_12_20_41.cal</v>
      </c>
      <c r="G410">
        <v>1</v>
      </c>
      <c r="H410" t="str">
        <f>""</f>
        <v/>
      </c>
      <c r="I410" t="str">
        <f>"8/16/2019 5:34:25 AM"</f>
        <v>8/16/2019 5:34:25 AM</v>
      </c>
      <c r="J410" t="str">
        <f>"1"</f>
        <v>1</v>
      </c>
      <c r="K410" t="str">
        <f>"2"</f>
        <v>2</v>
      </c>
      <c r="L410" t="str">
        <f>"TN"</f>
        <v>TN</v>
      </c>
      <c r="M410" t="str">
        <f>"16.64"</f>
        <v>16.64</v>
      </c>
      <c r="N410" t="str">
        <f>"4.401"</f>
        <v>4.401</v>
      </c>
      <c r="O410" t="str">
        <f>"NPOC:28.60mg/L TN:4.860mg/L"</f>
        <v>NPOC:28.60mg/L TN:4.860mg/L</v>
      </c>
      <c r="P410">
        <v>1</v>
      </c>
      <c r="Q410" t="str">
        <f>"80"</f>
        <v>80</v>
      </c>
    </row>
    <row r="411" spans="1:17" x14ac:dyDescent="0.2">
      <c r="A411" t="str">
        <f>"Unknown"</f>
        <v>Unknown</v>
      </c>
      <c r="B411" t="str">
        <f>"NPOC/TN"</f>
        <v>NPOC/TN</v>
      </c>
      <c r="C411" t="str">
        <f>"1056"</f>
        <v>1056</v>
      </c>
      <c r="D411" t="str">
        <f>"36"</f>
        <v>36</v>
      </c>
      <c r="E411" t="str">
        <f>"C:\TOC3201\Methods\Itamar\acid_sample.met"</f>
        <v>C:\TOC3201\Methods\Itamar\acid_sample.met</v>
      </c>
      <c r="F411" t="str">
        <f>"C:\TOC3201\CalCurves\Itamar\N_cal_25ppm_acid_laurel.2019_08_15_12_20_41.cal"</f>
        <v>C:\TOC3201\CalCurves\Itamar\N_cal_25ppm_acid_laurel.2019_08_15_12_20_41.cal</v>
      </c>
      <c r="G411">
        <v>1</v>
      </c>
      <c r="H411" t="str">
        <f>""</f>
        <v/>
      </c>
      <c r="I411" t="str">
        <f>"8/16/2019 5:38:24 AM"</f>
        <v>8/16/2019 5:38:24 AM</v>
      </c>
      <c r="J411" t="str">
        <f>"1"</f>
        <v>1</v>
      </c>
      <c r="K411" t="str">
        <f>"3"</f>
        <v>3</v>
      </c>
      <c r="L411" t="str">
        <f>"TN"</f>
        <v>TN</v>
      </c>
      <c r="M411" t="str">
        <f>"18.28"</f>
        <v>18.28</v>
      </c>
      <c r="N411" t="str">
        <f>"4.819"</f>
        <v>4.819</v>
      </c>
      <c r="O411" t="str">
        <f>"NPOC:28.60mg/L TN:4.860mg/L"</f>
        <v>NPOC:28.60mg/L TN:4.860mg/L</v>
      </c>
      <c r="P411">
        <v>0</v>
      </c>
      <c r="Q411" t="str">
        <f>"80"</f>
        <v>80</v>
      </c>
    </row>
    <row r="412" spans="1:17" x14ac:dyDescent="0.2">
      <c r="A412" t="str">
        <f>"Unknown"</f>
        <v>Unknown</v>
      </c>
      <c r="B412" t="str">
        <f>"NPOC/TN"</f>
        <v>NPOC/TN</v>
      </c>
      <c r="C412" t="str">
        <f>"1056"</f>
        <v>1056</v>
      </c>
      <c r="D412" t="str">
        <f>"36"</f>
        <v>36</v>
      </c>
      <c r="E412" t="str">
        <f>"C:\TOC3201\Methods\Itamar\acid_sample.met"</f>
        <v>C:\TOC3201\Methods\Itamar\acid_sample.met</v>
      </c>
      <c r="F412" t="str">
        <f>"C:\TOC3201\CalCurves\Itamar\N_cal_25ppm_acid_laurel.2019_08_15_12_20_41.cal"</f>
        <v>C:\TOC3201\CalCurves\Itamar\N_cal_25ppm_acid_laurel.2019_08_15_12_20_41.cal</v>
      </c>
      <c r="G412">
        <v>1</v>
      </c>
      <c r="H412" t="str">
        <f>""</f>
        <v/>
      </c>
      <c r="I412" t="str">
        <f>"8/16/2019 5:42:15 AM"</f>
        <v>8/16/2019 5:42:15 AM</v>
      </c>
      <c r="J412" t="str">
        <f>"1"</f>
        <v>1</v>
      </c>
      <c r="K412" t="str">
        <f>"4"</f>
        <v>4</v>
      </c>
      <c r="L412" t="str">
        <f>"TN"</f>
        <v>TN</v>
      </c>
      <c r="M412" t="str">
        <f>"18.35"</f>
        <v>18.35</v>
      </c>
      <c r="N412" t="str">
        <f>"4.836"</f>
        <v>4.836</v>
      </c>
      <c r="O412" t="str">
        <f>"NPOC:28.60mg/L TN:4.860mg/L"</f>
        <v>NPOC:28.60mg/L TN:4.860mg/L</v>
      </c>
      <c r="P412">
        <v>0</v>
      </c>
      <c r="Q412" t="str">
        <f>"80"</f>
        <v>80</v>
      </c>
    </row>
    <row r="413" spans="1:17" x14ac:dyDescent="0.2">
      <c r="A413" t="str">
        <f>"Unknown"</f>
        <v>Unknown</v>
      </c>
      <c r="B413" t="str">
        <f>"NPOC/TN"</f>
        <v>NPOC/TN</v>
      </c>
      <c r="C413" t="str">
        <f>"1058"</f>
        <v>1058</v>
      </c>
      <c r="D413" t="str">
        <f>"37"</f>
        <v>37</v>
      </c>
      <c r="E413" t="str">
        <f>"C:\TOC3201\Methods\Itamar\acid_sample.met"</f>
        <v>C:\TOC3201\Methods\Itamar\acid_sample.met</v>
      </c>
      <c r="F413" t="str">
        <f>"C:\TOC3201\CalCurves\Itamar\C_cal_100ppm_acid_laurel.2019_08_15_10_24_40.cal"</f>
        <v>C:\TOC3201\CalCurves\Itamar\C_cal_100ppm_acid_laurel.2019_08_15_10_24_40.cal</v>
      </c>
      <c r="G413">
        <v>1</v>
      </c>
      <c r="H413" t="str">
        <f>""</f>
        <v/>
      </c>
      <c r="I413" t="str">
        <f>"8/16/2019 5:53:31 AM"</f>
        <v>8/16/2019 5:53:31 AM</v>
      </c>
      <c r="J413" t="str">
        <f>"1"</f>
        <v>1</v>
      </c>
      <c r="K413" t="str">
        <f>"1"</f>
        <v>1</v>
      </c>
      <c r="L413" t="str">
        <f>"NPOC"</f>
        <v>NPOC</v>
      </c>
      <c r="M413" t="str">
        <f>"836.3"</f>
        <v>836.3</v>
      </c>
      <c r="N413" t="str">
        <f>"171.8"</f>
        <v>171.8</v>
      </c>
      <c r="O413" t="str">
        <f>"NPOC:175.0mg/L TN:24.77mg/L"</f>
        <v>NPOC:175.0mg/L TN:24.77mg/L</v>
      </c>
      <c r="P413">
        <v>0</v>
      </c>
      <c r="Q413" t="str">
        <f>"80"</f>
        <v>80</v>
      </c>
    </row>
    <row r="414" spans="1:17" x14ac:dyDescent="0.2">
      <c r="A414" t="str">
        <f>"Unknown"</f>
        <v>Unknown</v>
      </c>
      <c r="B414" t="str">
        <f>"NPOC/TN"</f>
        <v>NPOC/TN</v>
      </c>
      <c r="C414" t="str">
        <f>"1058"</f>
        <v>1058</v>
      </c>
      <c r="D414" t="str">
        <f>"37"</f>
        <v>37</v>
      </c>
      <c r="E414" t="str">
        <f>"C:\TOC3201\Methods\Itamar\acid_sample.met"</f>
        <v>C:\TOC3201\Methods\Itamar\acid_sample.met</v>
      </c>
      <c r="F414" t="str">
        <f>"C:\TOC3201\CalCurves\Itamar\C_cal_100ppm_acid_laurel.2019_08_15_10_24_40.cal"</f>
        <v>C:\TOC3201\CalCurves\Itamar\C_cal_100ppm_acid_laurel.2019_08_15_10_24_40.cal</v>
      </c>
      <c r="G414">
        <v>1</v>
      </c>
      <c r="H414" t="str">
        <f>""</f>
        <v/>
      </c>
      <c r="I414" t="str">
        <f>"8/16/2019 5:57:54 AM"</f>
        <v>8/16/2019 5:57:54 AM</v>
      </c>
      <c r="J414" t="str">
        <f>"1"</f>
        <v>1</v>
      </c>
      <c r="K414" t="str">
        <f>"2"</f>
        <v>2</v>
      </c>
      <c r="L414" t="str">
        <f>"NPOC"</f>
        <v>NPOC</v>
      </c>
      <c r="M414" t="str">
        <f>"810.6"</f>
        <v>810.6</v>
      </c>
      <c r="N414" t="str">
        <f>"166.5"</f>
        <v>166.5</v>
      </c>
      <c r="O414" t="str">
        <f>"NPOC:175.0mg/L TN:24.77mg/L"</f>
        <v>NPOC:175.0mg/L TN:24.77mg/L</v>
      </c>
      <c r="P414">
        <v>1</v>
      </c>
      <c r="Q414" t="str">
        <f>"80"</f>
        <v>80</v>
      </c>
    </row>
    <row r="415" spans="1:17" x14ac:dyDescent="0.2">
      <c r="A415" t="str">
        <f>"Unknown"</f>
        <v>Unknown</v>
      </c>
      <c r="B415" t="str">
        <f>"NPOC/TN"</f>
        <v>NPOC/TN</v>
      </c>
      <c r="C415" t="str">
        <f>"1058"</f>
        <v>1058</v>
      </c>
      <c r="D415" t="str">
        <f>"37"</f>
        <v>37</v>
      </c>
      <c r="E415" t="str">
        <f>"C:\TOC3201\Methods\Itamar\acid_sample.met"</f>
        <v>C:\TOC3201\Methods\Itamar\acid_sample.met</v>
      </c>
      <c r="F415" t="str">
        <f>"C:\TOC3201\CalCurves\Itamar\C_cal_100ppm_acid_laurel.2019_08_15_10_24_40.cal"</f>
        <v>C:\TOC3201\CalCurves\Itamar\C_cal_100ppm_acid_laurel.2019_08_15_10_24_40.cal</v>
      </c>
      <c r="G415">
        <v>1</v>
      </c>
      <c r="H415" t="str">
        <f>""</f>
        <v/>
      </c>
      <c r="I415" t="str">
        <f>"8/16/2019 6:02:34 AM"</f>
        <v>8/16/2019 6:02:34 AM</v>
      </c>
      <c r="J415" t="str">
        <f>"1"</f>
        <v>1</v>
      </c>
      <c r="K415" t="str">
        <f>"3"</f>
        <v>3</v>
      </c>
      <c r="L415" t="str">
        <f>"NPOC"</f>
        <v>NPOC</v>
      </c>
      <c r="M415" t="str">
        <f>"868.3"</f>
        <v>868.3</v>
      </c>
      <c r="N415" t="str">
        <f>"178.4"</f>
        <v>178.4</v>
      </c>
      <c r="O415" t="str">
        <f>"NPOC:175.0mg/L TN:24.77mg/L"</f>
        <v>NPOC:175.0mg/L TN:24.77mg/L</v>
      </c>
      <c r="P415">
        <v>0</v>
      </c>
      <c r="Q415" t="str">
        <f>"80"</f>
        <v>80</v>
      </c>
    </row>
    <row r="416" spans="1:17" x14ac:dyDescent="0.2">
      <c r="A416" t="str">
        <f>"Unknown"</f>
        <v>Unknown</v>
      </c>
      <c r="B416" t="str">
        <f>"NPOC/TN"</f>
        <v>NPOC/TN</v>
      </c>
      <c r="C416" t="str">
        <f>"1058"</f>
        <v>1058</v>
      </c>
      <c r="D416" t="str">
        <f>"37"</f>
        <v>37</v>
      </c>
      <c r="E416" t="str">
        <f>"C:\TOC3201\Methods\Itamar\acid_sample.met"</f>
        <v>C:\TOC3201\Methods\Itamar\acid_sample.met</v>
      </c>
      <c r="F416" t="str">
        <f>"C:\TOC3201\CalCurves\Itamar\C_cal_100ppm_acid_laurel.2019_08_15_10_24_40.cal"</f>
        <v>C:\TOC3201\CalCurves\Itamar\C_cal_100ppm_acid_laurel.2019_08_15_10_24_40.cal</v>
      </c>
      <c r="G416">
        <v>1</v>
      </c>
      <c r="H416" t="str">
        <f>""</f>
        <v/>
      </c>
      <c r="I416" t="str">
        <f>"8/16/2019 6:07:08 AM"</f>
        <v>8/16/2019 6:07:08 AM</v>
      </c>
      <c r="J416" t="str">
        <f>"1"</f>
        <v>1</v>
      </c>
      <c r="K416" t="str">
        <f>"4"</f>
        <v>4</v>
      </c>
      <c r="L416" t="str">
        <f>"NPOC"</f>
        <v>NPOC</v>
      </c>
      <c r="M416" t="str">
        <f>"851.0"</f>
        <v>851.0</v>
      </c>
      <c r="N416" t="str">
        <f>"174.8"</f>
        <v>174.8</v>
      </c>
      <c r="O416" t="str">
        <f>"NPOC:175.0mg/L TN:24.77mg/L"</f>
        <v>NPOC:175.0mg/L TN:24.77mg/L</v>
      </c>
      <c r="P416">
        <v>0</v>
      </c>
      <c r="Q416" t="str">
        <f>"80"</f>
        <v>80</v>
      </c>
    </row>
    <row r="417" spans="1:17" x14ac:dyDescent="0.2">
      <c r="A417" t="str">
        <f>"Unknown"</f>
        <v>Unknown</v>
      </c>
      <c r="B417" t="str">
        <f>"NPOC/TN"</f>
        <v>NPOC/TN</v>
      </c>
      <c r="C417" t="str">
        <f>"1058"</f>
        <v>1058</v>
      </c>
      <c r="D417" t="str">
        <f>"37"</f>
        <v>37</v>
      </c>
      <c r="E417" t="str">
        <f>"C:\TOC3201\Methods\Itamar\acid_sample.met"</f>
        <v>C:\TOC3201\Methods\Itamar\acid_sample.met</v>
      </c>
      <c r="F417" t="str">
        <f>"C:\TOC3201\CalCurves\Itamar\N_cal_25ppm_acid_laurel.2019_08_15_12_20_41.cal"</f>
        <v>C:\TOC3201\CalCurves\Itamar\N_cal_25ppm_acid_laurel.2019_08_15_12_20_41.cal</v>
      </c>
      <c r="G417">
        <v>1</v>
      </c>
      <c r="H417" t="str">
        <f>""</f>
        <v/>
      </c>
      <c r="I417" t="str">
        <f>"8/16/2019 5:53:31 AM"</f>
        <v>8/16/2019 5:53:31 AM</v>
      </c>
      <c r="J417" t="str">
        <f>"1"</f>
        <v>1</v>
      </c>
      <c r="K417" t="str">
        <f>"1"</f>
        <v>1</v>
      </c>
      <c r="L417" t="str">
        <f>"TN"</f>
        <v>TN</v>
      </c>
      <c r="M417" t="str">
        <f>"94.99"</f>
        <v>94.99</v>
      </c>
      <c r="N417" t="str">
        <f>"24.36"</f>
        <v>24.36</v>
      </c>
      <c r="O417" t="str">
        <f>"NPOC:175.0mg/L TN:24.77mg/L"</f>
        <v>NPOC:175.0mg/L TN:24.77mg/L</v>
      </c>
      <c r="P417">
        <v>0</v>
      </c>
      <c r="Q417" t="str">
        <f>"80"</f>
        <v>80</v>
      </c>
    </row>
    <row r="418" spans="1:17" x14ac:dyDescent="0.2">
      <c r="A418" t="str">
        <f>"Unknown"</f>
        <v>Unknown</v>
      </c>
      <c r="B418" t="str">
        <f>"NPOC/TN"</f>
        <v>NPOC/TN</v>
      </c>
      <c r="C418" t="str">
        <f>"1058"</f>
        <v>1058</v>
      </c>
      <c r="D418" t="str">
        <f>"37"</f>
        <v>37</v>
      </c>
      <c r="E418" t="str">
        <f>"C:\TOC3201\Methods\Itamar\acid_sample.met"</f>
        <v>C:\TOC3201\Methods\Itamar\acid_sample.met</v>
      </c>
      <c r="F418" t="str">
        <f>"C:\TOC3201\CalCurves\Itamar\N_cal_25ppm_acid_laurel.2019_08_15_12_20_41.cal"</f>
        <v>C:\TOC3201\CalCurves\Itamar\N_cal_25ppm_acid_laurel.2019_08_15_12_20_41.cal</v>
      </c>
      <c r="G418">
        <v>1</v>
      </c>
      <c r="H418" t="str">
        <f>""</f>
        <v/>
      </c>
      <c r="I418" t="str">
        <f>"8/16/2019 5:57:54 AM"</f>
        <v>8/16/2019 5:57:54 AM</v>
      </c>
      <c r="J418" t="str">
        <f>"1"</f>
        <v>1</v>
      </c>
      <c r="K418" t="str">
        <f>"2"</f>
        <v>2</v>
      </c>
      <c r="L418" t="str">
        <f>"TN"</f>
        <v>TN</v>
      </c>
      <c r="M418" t="str">
        <f>"92.15"</f>
        <v>92.15</v>
      </c>
      <c r="N418" t="str">
        <f>"23.64"</f>
        <v>23.64</v>
      </c>
      <c r="O418" t="str">
        <f>"NPOC:175.0mg/L TN:24.77mg/L"</f>
        <v>NPOC:175.0mg/L TN:24.77mg/L</v>
      </c>
      <c r="P418">
        <v>1</v>
      </c>
      <c r="Q418" t="str">
        <f>"80"</f>
        <v>80</v>
      </c>
    </row>
    <row r="419" spans="1:17" x14ac:dyDescent="0.2">
      <c r="A419" t="str">
        <f>"Unknown"</f>
        <v>Unknown</v>
      </c>
      <c r="B419" t="str">
        <f>"NPOC/TN"</f>
        <v>NPOC/TN</v>
      </c>
      <c r="C419" t="str">
        <f>"1058"</f>
        <v>1058</v>
      </c>
      <c r="D419" t="str">
        <f>"37"</f>
        <v>37</v>
      </c>
      <c r="E419" t="str">
        <f>"C:\TOC3201\Methods\Itamar\acid_sample.met"</f>
        <v>C:\TOC3201\Methods\Itamar\acid_sample.met</v>
      </c>
      <c r="F419" t="str">
        <f>"C:\TOC3201\CalCurves\Itamar\N_cal_25ppm_acid_laurel.2019_08_15_12_20_41.cal"</f>
        <v>C:\TOC3201\CalCurves\Itamar\N_cal_25ppm_acid_laurel.2019_08_15_12_20_41.cal</v>
      </c>
      <c r="G419">
        <v>1</v>
      </c>
      <c r="H419" t="str">
        <f>""</f>
        <v/>
      </c>
      <c r="I419" t="str">
        <f>"8/16/2019 6:02:34 AM"</f>
        <v>8/16/2019 6:02:34 AM</v>
      </c>
      <c r="J419" t="str">
        <f>"1"</f>
        <v>1</v>
      </c>
      <c r="K419" t="str">
        <f>"3"</f>
        <v>3</v>
      </c>
      <c r="L419" t="str">
        <f>"TN"</f>
        <v>TN</v>
      </c>
      <c r="M419" t="str">
        <f>"98.06"</f>
        <v>98.06</v>
      </c>
      <c r="N419" t="str">
        <f>"25.15"</f>
        <v>25.15</v>
      </c>
      <c r="O419" t="str">
        <f>"NPOC:175.0mg/L TN:24.77mg/L"</f>
        <v>NPOC:175.0mg/L TN:24.77mg/L</v>
      </c>
      <c r="P419">
        <v>0</v>
      </c>
      <c r="Q419" t="str">
        <f>"80"</f>
        <v>80</v>
      </c>
    </row>
    <row r="420" spans="1:17" x14ac:dyDescent="0.2">
      <c r="A420" t="str">
        <f>"Unknown"</f>
        <v>Unknown</v>
      </c>
      <c r="B420" t="str">
        <f>"NPOC/TN"</f>
        <v>NPOC/TN</v>
      </c>
      <c r="C420" t="str">
        <f>"1058"</f>
        <v>1058</v>
      </c>
      <c r="D420" t="str">
        <f>"37"</f>
        <v>37</v>
      </c>
      <c r="E420" t="str">
        <f>"C:\TOC3201\Methods\Itamar\acid_sample.met"</f>
        <v>C:\TOC3201\Methods\Itamar\acid_sample.met</v>
      </c>
      <c r="F420" t="str">
        <f>"C:\TOC3201\CalCurves\Itamar\N_cal_25ppm_acid_laurel.2019_08_15_12_20_41.cal"</f>
        <v>C:\TOC3201\CalCurves\Itamar\N_cal_25ppm_acid_laurel.2019_08_15_12_20_41.cal</v>
      </c>
      <c r="G420">
        <v>1</v>
      </c>
      <c r="H420" t="str">
        <f>""</f>
        <v/>
      </c>
      <c r="I420" t="str">
        <f>"8/16/2019 6:07:08 AM"</f>
        <v>8/16/2019 6:07:08 AM</v>
      </c>
      <c r="J420" t="str">
        <f>"1"</f>
        <v>1</v>
      </c>
      <c r="K420" t="str">
        <f>"4"</f>
        <v>4</v>
      </c>
      <c r="L420" t="str">
        <f>"TN"</f>
        <v>TN</v>
      </c>
      <c r="M420" t="str">
        <f>"96.69"</f>
        <v>96.69</v>
      </c>
      <c r="N420" t="str">
        <f>"24.80"</f>
        <v>24.80</v>
      </c>
      <c r="O420" t="str">
        <f>"NPOC:175.0mg/L TN:24.77mg/L"</f>
        <v>NPOC:175.0mg/L TN:24.77mg/L</v>
      </c>
      <c r="P420">
        <v>0</v>
      </c>
      <c r="Q420" t="str">
        <f>"80"</f>
        <v>80</v>
      </c>
    </row>
    <row r="421" spans="1:17" x14ac:dyDescent="0.2">
      <c r="A421" t="str">
        <f>"Unknown"</f>
        <v>Unknown</v>
      </c>
      <c r="B421" t="str">
        <f>"NPOC/TN"</f>
        <v>NPOC/TN</v>
      </c>
      <c r="C421" t="str">
        <f>"1060"</f>
        <v>1060</v>
      </c>
      <c r="D421" t="str">
        <f>"38"</f>
        <v>38</v>
      </c>
      <c r="E421" t="str">
        <f>"C:\TOC3201\Methods\Itamar\acid_sample.met"</f>
        <v>C:\TOC3201\Methods\Itamar\acid_sample.met</v>
      </c>
      <c r="F421" t="str">
        <f>"C:\TOC3201\CalCurves\Itamar\C_cal_100ppm_acid_laurel.2019_08_15_10_24_40.cal"</f>
        <v>C:\TOC3201\CalCurves\Itamar\C_cal_100ppm_acid_laurel.2019_08_15_10_24_40.cal</v>
      </c>
      <c r="G421">
        <v>1</v>
      </c>
      <c r="H421" t="str">
        <f>""</f>
        <v/>
      </c>
      <c r="I421" t="str">
        <f>"8/16/2019 6:18:23 AM"</f>
        <v>8/16/2019 6:18:23 AM</v>
      </c>
      <c r="J421" t="str">
        <f>"1"</f>
        <v>1</v>
      </c>
      <c r="K421" t="str">
        <f>"1"</f>
        <v>1</v>
      </c>
      <c r="L421" t="str">
        <f>"NPOC"</f>
        <v>NPOC</v>
      </c>
      <c r="M421" t="str">
        <f>"903.4"</f>
        <v>903.4</v>
      </c>
      <c r="N421" t="str">
        <f>"185.6"</f>
        <v>185.6</v>
      </c>
      <c r="O421" t="str">
        <f>"NPOC:188.7mg/L TN:26.18mg/L"</f>
        <v>NPOC:188.7mg/L TN:26.18mg/L</v>
      </c>
      <c r="P421">
        <v>0</v>
      </c>
      <c r="Q421" t="str">
        <f>"80"</f>
        <v>80</v>
      </c>
    </row>
    <row r="422" spans="1:17" x14ac:dyDescent="0.2">
      <c r="A422" t="str">
        <f>"Unknown"</f>
        <v>Unknown</v>
      </c>
      <c r="B422" t="str">
        <f>"NPOC/TN"</f>
        <v>NPOC/TN</v>
      </c>
      <c r="C422" t="str">
        <f>"1060"</f>
        <v>1060</v>
      </c>
      <c r="D422" t="str">
        <f>"38"</f>
        <v>38</v>
      </c>
      <c r="E422" t="str">
        <f>"C:\TOC3201\Methods\Itamar\acid_sample.met"</f>
        <v>C:\TOC3201\Methods\Itamar\acid_sample.met</v>
      </c>
      <c r="F422" t="str">
        <f>"C:\TOC3201\CalCurves\Itamar\C_cal_100ppm_acid_laurel.2019_08_15_10_24_40.cal"</f>
        <v>C:\TOC3201\CalCurves\Itamar\C_cal_100ppm_acid_laurel.2019_08_15_10_24_40.cal</v>
      </c>
      <c r="G422">
        <v>1</v>
      </c>
      <c r="H422" t="str">
        <f>""</f>
        <v/>
      </c>
      <c r="I422" t="str">
        <f>"8/16/2019 6:22:48 AM"</f>
        <v>8/16/2019 6:22:48 AM</v>
      </c>
      <c r="J422" t="str">
        <f>"1"</f>
        <v>1</v>
      </c>
      <c r="K422" t="str">
        <f>"2"</f>
        <v>2</v>
      </c>
      <c r="L422" t="str">
        <f>"NPOC"</f>
        <v>NPOC</v>
      </c>
      <c r="M422" t="str">
        <f>"879.6"</f>
        <v>879.6</v>
      </c>
      <c r="N422" t="str">
        <f>"180.7"</f>
        <v>180.7</v>
      </c>
      <c r="O422" t="str">
        <f>"NPOC:188.7mg/L TN:26.18mg/L"</f>
        <v>NPOC:188.7mg/L TN:26.18mg/L</v>
      </c>
      <c r="P422">
        <v>1</v>
      </c>
      <c r="Q422" t="str">
        <f>"80"</f>
        <v>80</v>
      </c>
    </row>
    <row r="423" spans="1:17" x14ac:dyDescent="0.2">
      <c r="A423" t="str">
        <f>"Unknown"</f>
        <v>Unknown</v>
      </c>
      <c r="B423" t="str">
        <f>"NPOC/TN"</f>
        <v>NPOC/TN</v>
      </c>
      <c r="C423" t="str">
        <f>"1060"</f>
        <v>1060</v>
      </c>
      <c r="D423" t="str">
        <f>"38"</f>
        <v>38</v>
      </c>
      <c r="E423" t="str">
        <f>"C:\TOC3201\Methods\Itamar\acid_sample.met"</f>
        <v>C:\TOC3201\Methods\Itamar\acid_sample.met</v>
      </c>
      <c r="F423" t="str">
        <f>"C:\TOC3201\CalCurves\Itamar\C_cal_100ppm_acid_laurel.2019_08_15_10_24_40.cal"</f>
        <v>C:\TOC3201\CalCurves\Itamar\C_cal_100ppm_acid_laurel.2019_08_15_10_24_40.cal</v>
      </c>
      <c r="G423">
        <v>1</v>
      </c>
      <c r="H423" t="str">
        <f>""</f>
        <v/>
      </c>
      <c r="I423" t="str">
        <f>"8/16/2019 6:27:40 AM"</f>
        <v>8/16/2019 6:27:40 AM</v>
      </c>
      <c r="J423" t="str">
        <f>"1"</f>
        <v>1</v>
      </c>
      <c r="K423" t="str">
        <f>"3"</f>
        <v>3</v>
      </c>
      <c r="L423" t="str">
        <f>"NPOC"</f>
        <v>NPOC</v>
      </c>
      <c r="M423" t="str">
        <f>"935.9"</f>
        <v>935.9</v>
      </c>
      <c r="N423" t="str">
        <f>"192.2"</f>
        <v>192.2</v>
      </c>
      <c r="O423" t="str">
        <f>"NPOC:188.7mg/L TN:26.18mg/L"</f>
        <v>NPOC:188.7mg/L TN:26.18mg/L</v>
      </c>
      <c r="P423">
        <v>0</v>
      </c>
      <c r="Q423" t="str">
        <f>"80"</f>
        <v>80</v>
      </c>
    </row>
    <row r="424" spans="1:17" x14ac:dyDescent="0.2">
      <c r="A424" t="str">
        <f>"Unknown"</f>
        <v>Unknown</v>
      </c>
      <c r="B424" t="str">
        <f>"NPOC/TN"</f>
        <v>NPOC/TN</v>
      </c>
      <c r="C424" t="str">
        <f>"1060"</f>
        <v>1060</v>
      </c>
      <c r="D424" t="str">
        <f>"38"</f>
        <v>38</v>
      </c>
      <c r="E424" t="str">
        <f>"C:\TOC3201\Methods\Itamar\acid_sample.met"</f>
        <v>C:\TOC3201\Methods\Itamar\acid_sample.met</v>
      </c>
      <c r="F424" t="str">
        <f>"C:\TOC3201\CalCurves\Itamar\C_cal_100ppm_acid_laurel.2019_08_15_10_24_40.cal"</f>
        <v>C:\TOC3201\CalCurves\Itamar\C_cal_100ppm_acid_laurel.2019_08_15_10_24_40.cal</v>
      </c>
      <c r="G424">
        <v>1</v>
      </c>
      <c r="H424" t="str">
        <f>""</f>
        <v/>
      </c>
      <c r="I424" t="str">
        <f>"8/16/2019 6:32:21 AM"</f>
        <v>8/16/2019 6:32:21 AM</v>
      </c>
      <c r="J424" t="str">
        <f>"1"</f>
        <v>1</v>
      </c>
      <c r="K424" t="str">
        <f>"4"</f>
        <v>4</v>
      </c>
      <c r="L424" t="str">
        <f>"NPOC"</f>
        <v>NPOC</v>
      </c>
      <c r="M424" t="str">
        <f>"916.0"</f>
        <v>916.0</v>
      </c>
      <c r="N424" t="str">
        <f>"188.2"</f>
        <v>188.2</v>
      </c>
      <c r="O424" t="str">
        <f>"NPOC:188.7mg/L TN:26.18mg/L"</f>
        <v>NPOC:188.7mg/L TN:26.18mg/L</v>
      </c>
      <c r="P424">
        <v>0</v>
      </c>
      <c r="Q424" t="str">
        <f>"80"</f>
        <v>80</v>
      </c>
    </row>
    <row r="425" spans="1:17" x14ac:dyDescent="0.2">
      <c r="A425" t="str">
        <f>"Unknown"</f>
        <v>Unknown</v>
      </c>
      <c r="B425" t="str">
        <f>"NPOC/TN"</f>
        <v>NPOC/TN</v>
      </c>
      <c r="C425" t="str">
        <f>"1060"</f>
        <v>1060</v>
      </c>
      <c r="D425" t="str">
        <f>"38"</f>
        <v>38</v>
      </c>
      <c r="E425" t="str">
        <f>"C:\TOC3201\Methods\Itamar\acid_sample.met"</f>
        <v>C:\TOC3201\Methods\Itamar\acid_sample.met</v>
      </c>
      <c r="F425" t="str">
        <f>"C:\TOC3201\CalCurves\Itamar\N_cal_25ppm_acid_laurel.2019_08_15_12_20_41.cal"</f>
        <v>C:\TOC3201\CalCurves\Itamar\N_cal_25ppm_acid_laurel.2019_08_15_12_20_41.cal</v>
      </c>
      <c r="G425">
        <v>1</v>
      </c>
      <c r="H425" t="str">
        <f>""</f>
        <v/>
      </c>
      <c r="I425" t="str">
        <f>"8/16/2019 6:18:23 AM"</f>
        <v>8/16/2019 6:18:23 AM</v>
      </c>
      <c r="J425" t="str">
        <f>"1"</f>
        <v>1</v>
      </c>
      <c r="K425" t="str">
        <f>"1"</f>
        <v>1</v>
      </c>
      <c r="L425" t="str">
        <f>"TN"</f>
        <v>TN</v>
      </c>
      <c r="M425" t="str">
        <f>"100.2"</f>
        <v>100.2</v>
      </c>
      <c r="N425" t="str">
        <f>"25.69"</f>
        <v>25.69</v>
      </c>
      <c r="O425" t="str">
        <f>"NPOC:188.7mg/L TN:26.18mg/L"</f>
        <v>NPOC:188.7mg/L TN:26.18mg/L</v>
      </c>
      <c r="P425">
        <v>0</v>
      </c>
      <c r="Q425" t="str">
        <f>"80"</f>
        <v>80</v>
      </c>
    </row>
    <row r="426" spans="1:17" x14ac:dyDescent="0.2">
      <c r="A426" t="str">
        <f>"Unknown"</f>
        <v>Unknown</v>
      </c>
      <c r="B426" t="str">
        <f>"NPOC/TN"</f>
        <v>NPOC/TN</v>
      </c>
      <c r="C426" t="str">
        <f>"1060"</f>
        <v>1060</v>
      </c>
      <c r="D426" t="str">
        <f>"38"</f>
        <v>38</v>
      </c>
      <c r="E426" t="str">
        <f>"C:\TOC3201\Methods\Itamar\acid_sample.met"</f>
        <v>C:\TOC3201\Methods\Itamar\acid_sample.met</v>
      </c>
      <c r="F426" t="str">
        <f>"C:\TOC3201\CalCurves\Itamar\N_cal_25ppm_acid_laurel.2019_08_15_12_20_41.cal"</f>
        <v>C:\TOC3201\CalCurves\Itamar\N_cal_25ppm_acid_laurel.2019_08_15_12_20_41.cal</v>
      </c>
      <c r="G426">
        <v>1</v>
      </c>
      <c r="H426" t="str">
        <f>""</f>
        <v/>
      </c>
      <c r="I426" t="str">
        <f>"8/16/2019 6:22:48 AM"</f>
        <v>8/16/2019 6:22:48 AM</v>
      </c>
      <c r="J426" t="str">
        <f>"1"</f>
        <v>1</v>
      </c>
      <c r="K426" t="str">
        <f>"2"</f>
        <v>2</v>
      </c>
      <c r="L426" t="str">
        <f>"TN"</f>
        <v>TN</v>
      </c>
      <c r="M426" t="str">
        <f>"96.42"</f>
        <v>96.42</v>
      </c>
      <c r="N426" t="str">
        <f>"24.73"</f>
        <v>24.73</v>
      </c>
      <c r="O426" t="str">
        <f>"NPOC:188.7mg/L TN:26.18mg/L"</f>
        <v>NPOC:188.7mg/L TN:26.18mg/L</v>
      </c>
      <c r="P426">
        <v>1</v>
      </c>
      <c r="Q426" t="str">
        <f>"80"</f>
        <v>80</v>
      </c>
    </row>
    <row r="427" spans="1:17" x14ac:dyDescent="0.2">
      <c r="A427" t="str">
        <f>"Unknown"</f>
        <v>Unknown</v>
      </c>
      <c r="B427" t="str">
        <f>"NPOC/TN"</f>
        <v>NPOC/TN</v>
      </c>
      <c r="C427" t="str">
        <f>"1060"</f>
        <v>1060</v>
      </c>
      <c r="D427" t="str">
        <f>"38"</f>
        <v>38</v>
      </c>
      <c r="E427" t="str">
        <f>"C:\TOC3201\Methods\Itamar\acid_sample.met"</f>
        <v>C:\TOC3201\Methods\Itamar\acid_sample.met</v>
      </c>
      <c r="F427" t="str">
        <f>"C:\TOC3201\CalCurves\Itamar\N_cal_25ppm_acid_laurel.2019_08_15_12_20_41.cal"</f>
        <v>C:\TOC3201\CalCurves\Itamar\N_cal_25ppm_acid_laurel.2019_08_15_12_20_41.cal</v>
      </c>
      <c r="G427">
        <v>1</v>
      </c>
      <c r="H427" t="str">
        <f>""</f>
        <v/>
      </c>
      <c r="I427" t="str">
        <f>"8/16/2019 6:27:40 AM"</f>
        <v>8/16/2019 6:27:40 AM</v>
      </c>
      <c r="J427" t="str">
        <f>"1"</f>
        <v>1</v>
      </c>
      <c r="K427" t="str">
        <f>"3"</f>
        <v>3</v>
      </c>
      <c r="L427" t="str">
        <f>"TN"</f>
        <v>TN</v>
      </c>
      <c r="M427" t="str">
        <f>"103.6"</f>
        <v>103.6</v>
      </c>
      <c r="N427" t="str">
        <f>"26.56"</f>
        <v>26.56</v>
      </c>
      <c r="O427" t="str">
        <f>"NPOC:188.7mg/L TN:26.18mg/L"</f>
        <v>NPOC:188.7mg/L TN:26.18mg/L</v>
      </c>
      <c r="P427">
        <v>0</v>
      </c>
      <c r="Q427" t="str">
        <f>"80"</f>
        <v>80</v>
      </c>
    </row>
    <row r="428" spans="1:17" x14ac:dyDescent="0.2">
      <c r="A428" t="str">
        <f>"Unknown"</f>
        <v>Unknown</v>
      </c>
      <c r="B428" t="str">
        <f>"NPOC/TN"</f>
        <v>NPOC/TN</v>
      </c>
      <c r="C428" t="str">
        <f>"1060"</f>
        <v>1060</v>
      </c>
      <c r="D428" t="str">
        <f>"38"</f>
        <v>38</v>
      </c>
      <c r="E428" t="str">
        <f>"C:\TOC3201\Methods\Itamar\acid_sample.met"</f>
        <v>C:\TOC3201\Methods\Itamar\acid_sample.met</v>
      </c>
      <c r="F428" t="str">
        <f>"C:\TOC3201\CalCurves\Itamar\N_cal_25ppm_acid_laurel.2019_08_15_12_20_41.cal"</f>
        <v>C:\TOC3201\CalCurves\Itamar\N_cal_25ppm_acid_laurel.2019_08_15_12_20_41.cal</v>
      </c>
      <c r="G428">
        <v>1</v>
      </c>
      <c r="H428" t="str">
        <f>""</f>
        <v/>
      </c>
      <c r="I428" t="str">
        <f>"8/16/2019 6:32:21 AM"</f>
        <v>8/16/2019 6:32:21 AM</v>
      </c>
      <c r="J428" t="str">
        <f>"1"</f>
        <v>1</v>
      </c>
      <c r="K428" t="str">
        <f>"4"</f>
        <v>4</v>
      </c>
      <c r="L428" t="str">
        <f>"TN"</f>
        <v>TN</v>
      </c>
      <c r="M428" t="str">
        <f>"102.5"</f>
        <v>102.5</v>
      </c>
      <c r="N428" t="str">
        <f>"26.28"</f>
        <v>26.28</v>
      </c>
      <c r="O428" t="str">
        <f>"NPOC:188.7mg/L TN:26.18mg/L"</f>
        <v>NPOC:188.7mg/L TN:26.18mg/L</v>
      </c>
      <c r="P428">
        <v>0</v>
      </c>
      <c r="Q428" t="str">
        <f>"80"</f>
        <v>80</v>
      </c>
    </row>
    <row r="429" spans="1:17" x14ac:dyDescent="0.2">
      <c r="A429" t="str">
        <f>"Unknown"</f>
        <v>Unknown</v>
      </c>
      <c r="B429" t="str">
        <f>"NPOC/TN"</f>
        <v>NPOC/TN</v>
      </c>
      <c r="C429" t="str">
        <f>"1062"</f>
        <v>1062</v>
      </c>
      <c r="D429" t="str">
        <f>"39"</f>
        <v>39</v>
      </c>
      <c r="E429" t="str">
        <f>"C:\TOC3201\Methods\Itamar\acid_sample.met"</f>
        <v>C:\TOC3201\Methods\Itamar\acid_sample.met</v>
      </c>
      <c r="F429" t="str">
        <f>"C:\TOC3201\CalCurves\Itamar\C_cal_100ppm_acid_laurel.2019_08_15_10_24_40.cal"</f>
        <v>C:\TOC3201\CalCurves\Itamar\C_cal_100ppm_acid_laurel.2019_08_15_10_24_40.cal</v>
      </c>
      <c r="G429">
        <v>1</v>
      </c>
      <c r="H429" t="str">
        <f>""</f>
        <v/>
      </c>
      <c r="I429" t="str">
        <f>"8/16/2019 6:43:32 AM"</f>
        <v>8/16/2019 6:43:32 AM</v>
      </c>
      <c r="J429" t="str">
        <f>"1"</f>
        <v>1</v>
      </c>
      <c r="K429" t="str">
        <f>"1"</f>
        <v>1</v>
      </c>
      <c r="L429" t="str">
        <f>"NPOC"</f>
        <v>NPOC</v>
      </c>
      <c r="M429" t="str">
        <f>"916.2"</f>
        <v>916.2</v>
      </c>
      <c r="N429" t="str">
        <f>"188.2"</f>
        <v>188.2</v>
      </c>
      <c r="O429" t="str">
        <f>"NPOC:189.9mg/L TN:26.08mg/L"</f>
        <v>NPOC:189.9mg/L TN:26.08mg/L</v>
      </c>
      <c r="P429">
        <v>0</v>
      </c>
      <c r="Q429" t="str">
        <f>"80"</f>
        <v>80</v>
      </c>
    </row>
    <row r="430" spans="1:17" x14ac:dyDescent="0.2">
      <c r="A430" t="str">
        <f>"Unknown"</f>
        <v>Unknown</v>
      </c>
      <c r="B430" t="str">
        <f>"NPOC/TN"</f>
        <v>NPOC/TN</v>
      </c>
      <c r="C430" t="str">
        <f>"1062"</f>
        <v>1062</v>
      </c>
      <c r="D430" t="str">
        <f>"39"</f>
        <v>39</v>
      </c>
      <c r="E430" t="str">
        <f>"C:\TOC3201\Methods\Itamar\acid_sample.met"</f>
        <v>C:\TOC3201\Methods\Itamar\acid_sample.met</v>
      </c>
      <c r="F430" t="str">
        <f>"C:\TOC3201\CalCurves\Itamar\C_cal_100ppm_acid_laurel.2019_08_15_10_24_40.cal"</f>
        <v>C:\TOC3201\CalCurves\Itamar\C_cal_100ppm_acid_laurel.2019_08_15_10_24_40.cal</v>
      </c>
      <c r="G430">
        <v>1</v>
      </c>
      <c r="H430" t="str">
        <f>""</f>
        <v/>
      </c>
      <c r="I430" t="str">
        <f>"8/16/2019 6:48:04 AM"</f>
        <v>8/16/2019 6:48:04 AM</v>
      </c>
      <c r="J430" t="str">
        <f>"1"</f>
        <v>1</v>
      </c>
      <c r="K430" t="str">
        <f>"2"</f>
        <v>2</v>
      </c>
      <c r="L430" t="str">
        <f>"NPOC"</f>
        <v>NPOC</v>
      </c>
      <c r="M430" t="str">
        <f>"921.1"</f>
        <v>921.1</v>
      </c>
      <c r="N430" t="str">
        <f>"189.2"</f>
        <v>189.2</v>
      </c>
      <c r="O430" t="str">
        <f>"NPOC:189.9mg/L TN:26.08mg/L"</f>
        <v>NPOC:189.9mg/L TN:26.08mg/L</v>
      </c>
      <c r="P430">
        <v>0</v>
      </c>
      <c r="Q430" t="str">
        <f>"80"</f>
        <v>80</v>
      </c>
    </row>
    <row r="431" spans="1:17" x14ac:dyDescent="0.2">
      <c r="A431" t="str">
        <f>"Unknown"</f>
        <v>Unknown</v>
      </c>
      <c r="B431" t="str">
        <f>"NPOC/TN"</f>
        <v>NPOC/TN</v>
      </c>
      <c r="C431" t="str">
        <f>"1062"</f>
        <v>1062</v>
      </c>
      <c r="D431" t="str">
        <f>"39"</f>
        <v>39</v>
      </c>
      <c r="E431" t="str">
        <f>"C:\TOC3201\Methods\Itamar\acid_sample.met"</f>
        <v>C:\TOC3201\Methods\Itamar\acid_sample.met</v>
      </c>
      <c r="F431" t="str">
        <f>"C:\TOC3201\CalCurves\Itamar\C_cal_100ppm_acid_laurel.2019_08_15_10_24_40.cal"</f>
        <v>C:\TOC3201\CalCurves\Itamar\C_cal_100ppm_acid_laurel.2019_08_15_10_24_40.cal</v>
      </c>
      <c r="G431">
        <v>1</v>
      </c>
      <c r="H431" t="str">
        <f>""</f>
        <v/>
      </c>
      <c r="I431" t="str">
        <f>"8/16/2019 6:52:43 AM"</f>
        <v>8/16/2019 6:52:43 AM</v>
      </c>
      <c r="J431" t="str">
        <f>"1"</f>
        <v>1</v>
      </c>
      <c r="K431" t="str">
        <f>"3"</f>
        <v>3</v>
      </c>
      <c r="L431" t="str">
        <f>"NPOC"</f>
        <v>NPOC</v>
      </c>
      <c r="M431" t="str">
        <f>"935.8"</f>
        <v>935.8</v>
      </c>
      <c r="N431" t="str">
        <f>"192.2"</f>
        <v>192.2</v>
      </c>
      <c r="O431" t="str">
        <f>"NPOC:189.9mg/L TN:26.08mg/L"</f>
        <v>NPOC:189.9mg/L TN:26.08mg/L</v>
      </c>
      <c r="P431">
        <v>0</v>
      </c>
      <c r="Q431" t="str">
        <f>"80"</f>
        <v>80</v>
      </c>
    </row>
    <row r="432" spans="1:17" x14ac:dyDescent="0.2">
      <c r="A432" t="str">
        <f>"Unknown"</f>
        <v>Unknown</v>
      </c>
      <c r="B432" t="str">
        <f>"NPOC/TN"</f>
        <v>NPOC/TN</v>
      </c>
      <c r="C432" t="str">
        <f>"1062"</f>
        <v>1062</v>
      </c>
      <c r="D432" t="str">
        <f>"39"</f>
        <v>39</v>
      </c>
      <c r="E432" t="str">
        <f>"C:\TOC3201\Methods\Itamar\acid_sample.met"</f>
        <v>C:\TOC3201\Methods\Itamar\acid_sample.met</v>
      </c>
      <c r="F432" t="str">
        <f>"C:\TOC3201\CalCurves\Itamar\N_cal_25ppm_acid_laurel.2019_08_15_12_20_41.cal"</f>
        <v>C:\TOC3201\CalCurves\Itamar\N_cal_25ppm_acid_laurel.2019_08_15_12_20_41.cal</v>
      </c>
      <c r="G432">
        <v>1</v>
      </c>
      <c r="H432" t="str">
        <f>""</f>
        <v/>
      </c>
      <c r="I432" t="str">
        <f>"8/16/2019 6:43:32 AM"</f>
        <v>8/16/2019 6:43:32 AM</v>
      </c>
      <c r="J432" t="str">
        <f>"1"</f>
        <v>1</v>
      </c>
      <c r="K432" t="str">
        <f>"1"</f>
        <v>1</v>
      </c>
      <c r="L432" t="str">
        <f>"TN"</f>
        <v>TN</v>
      </c>
      <c r="M432" t="str">
        <f>"101.2"</f>
        <v>101.2</v>
      </c>
      <c r="N432" t="str">
        <f>"25.95"</f>
        <v>25.95</v>
      </c>
      <c r="O432" t="str">
        <f>"NPOC:189.9mg/L TN:26.08mg/L"</f>
        <v>NPOC:189.9mg/L TN:26.08mg/L</v>
      </c>
      <c r="P432">
        <v>0</v>
      </c>
      <c r="Q432" t="str">
        <f>"80"</f>
        <v>80</v>
      </c>
    </row>
    <row r="433" spans="1:17" x14ac:dyDescent="0.2">
      <c r="A433" t="str">
        <f>"Unknown"</f>
        <v>Unknown</v>
      </c>
      <c r="B433" t="str">
        <f>"NPOC/TN"</f>
        <v>NPOC/TN</v>
      </c>
      <c r="C433" t="str">
        <f>"1062"</f>
        <v>1062</v>
      </c>
      <c r="D433" t="str">
        <f>"39"</f>
        <v>39</v>
      </c>
      <c r="E433" t="str">
        <f>"C:\TOC3201\Methods\Itamar\acid_sample.met"</f>
        <v>C:\TOC3201\Methods\Itamar\acid_sample.met</v>
      </c>
      <c r="F433" t="str">
        <f>"C:\TOC3201\CalCurves\Itamar\N_cal_25ppm_acid_laurel.2019_08_15_12_20_41.cal"</f>
        <v>C:\TOC3201\CalCurves\Itamar\N_cal_25ppm_acid_laurel.2019_08_15_12_20_41.cal</v>
      </c>
      <c r="G433">
        <v>1</v>
      </c>
      <c r="H433" t="str">
        <f>""</f>
        <v/>
      </c>
      <c r="I433" t="str">
        <f>"8/16/2019 6:48:04 AM"</f>
        <v>8/16/2019 6:48:04 AM</v>
      </c>
      <c r="J433" t="str">
        <f>"1"</f>
        <v>1</v>
      </c>
      <c r="K433" t="str">
        <f>"2"</f>
        <v>2</v>
      </c>
      <c r="L433" t="str">
        <f>"TN"</f>
        <v>TN</v>
      </c>
      <c r="M433" t="str">
        <f>"100.7"</f>
        <v>100.7</v>
      </c>
      <c r="N433" t="str">
        <f>"25.82"</f>
        <v>25.82</v>
      </c>
      <c r="O433" t="str">
        <f>"NPOC:189.9mg/L TN:26.08mg/L"</f>
        <v>NPOC:189.9mg/L TN:26.08mg/L</v>
      </c>
      <c r="P433">
        <v>0</v>
      </c>
      <c r="Q433" t="str">
        <f>"80"</f>
        <v>80</v>
      </c>
    </row>
    <row r="434" spans="1:17" x14ac:dyDescent="0.2">
      <c r="A434" t="str">
        <f>"Unknown"</f>
        <v>Unknown</v>
      </c>
      <c r="B434" t="str">
        <f>"NPOC/TN"</f>
        <v>NPOC/TN</v>
      </c>
      <c r="C434" t="str">
        <f>"1062"</f>
        <v>1062</v>
      </c>
      <c r="D434" t="str">
        <f>"39"</f>
        <v>39</v>
      </c>
      <c r="E434" t="str">
        <f>"C:\TOC3201\Methods\Itamar\acid_sample.met"</f>
        <v>C:\TOC3201\Methods\Itamar\acid_sample.met</v>
      </c>
      <c r="F434" t="str">
        <f>"C:\TOC3201\CalCurves\Itamar\N_cal_25ppm_acid_laurel.2019_08_15_12_20_41.cal"</f>
        <v>C:\TOC3201\CalCurves\Itamar\N_cal_25ppm_acid_laurel.2019_08_15_12_20_41.cal</v>
      </c>
      <c r="G434">
        <v>1</v>
      </c>
      <c r="H434" t="str">
        <f>""</f>
        <v/>
      </c>
      <c r="I434" t="str">
        <f>"8/16/2019 6:52:43 AM"</f>
        <v>8/16/2019 6:52:43 AM</v>
      </c>
      <c r="J434" t="str">
        <f>"1"</f>
        <v>1</v>
      </c>
      <c r="K434" t="str">
        <f>"3"</f>
        <v>3</v>
      </c>
      <c r="L434" t="str">
        <f>"TN"</f>
        <v>TN</v>
      </c>
      <c r="M434" t="str">
        <f>"103.3"</f>
        <v>103.3</v>
      </c>
      <c r="N434" t="str">
        <f>"26.48"</f>
        <v>26.48</v>
      </c>
      <c r="O434" t="str">
        <f>"NPOC:189.9mg/L TN:26.08mg/L"</f>
        <v>NPOC:189.9mg/L TN:26.08mg/L</v>
      </c>
      <c r="P434">
        <v>0</v>
      </c>
      <c r="Q434" t="str">
        <f>"80"</f>
        <v>80</v>
      </c>
    </row>
    <row r="435" spans="1:17" x14ac:dyDescent="0.2">
      <c r="A435" t="str">
        <f>"Unknown"</f>
        <v>Unknown</v>
      </c>
      <c r="B435" t="str">
        <f>"NPOC/TN"</f>
        <v>NPOC/TN</v>
      </c>
      <c r="C435" t="str">
        <f>"1064"</f>
        <v>1064</v>
      </c>
      <c r="D435" t="str">
        <f>"40"</f>
        <v>40</v>
      </c>
      <c r="E435" t="str">
        <f>"C:\TOC3201\Methods\Itamar\acid_sample.met"</f>
        <v>C:\TOC3201\Methods\Itamar\acid_sample.met</v>
      </c>
      <c r="F435" t="str">
        <f>"C:\TOC3201\CalCurves\Itamar\C_cal_100ppm_acid_laurel.2019_08_15_10_24_40.cal"</f>
        <v>C:\TOC3201\CalCurves\Itamar\C_cal_100ppm_acid_laurel.2019_08_15_10_24_40.cal</v>
      </c>
      <c r="G435">
        <v>1</v>
      </c>
      <c r="H435" t="str">
        <f>""</f>
        <v/>
      </c>
      <c r="I435" t="str">
        <f>"8/16/2019 7:02:55 AM"</f>
        <v>8/16/2019 7:02:55 AM</v>
      </c>
      <c r="J435" t="str">
        <f>"1"</f>
        <v>1</v>
      </c>
      <c r="K435" t="str">
        <f>"1"</f>
        <v>1</v>
      </c>
      <c r="L435" t="str">
        <f>"NPOC"</f>
        <v>NPOC</v>
      </c>
      <c r="M435" t="str">
        <f>"79.34"</f>
        <v>79.34</v>
      </c>
      <c r="N435" t="str">
        <f>"16.35"</f>
        <v>16.35</v>
      </c>
      <c r="O435" t="str">
        <f>"NPOC:16.26mg/L TN:2.399mg/L"</f>
        <v>NPOC:16.26mg/L TN:2.399mg/L</v>
      </c>
      <c r="P435">
        <v>0</v>
      </c>
      <c r="Q435" t="str">
        <f>"80"</f>
        <v>80</v>
      </c>
    </row>
    <row r="436" spans="1:17" x14ac:dyDescent="0.2">
      <c r="A436" t="str">
        <f>"Unknown"</f>
        <v>Unknown</v>
      </c>
      <c r="B436" t="str">
        <f>"NPOC/TN"</f>
        <v>NPOC/TN</v>
      </c>
      <c r="C436" t="str">
        <f>"1064"</f>
        <v>1064</v>
      </c>
      <c r="D436" t="str">
        <f>"40"</f>
        <v>40</v>
      </c>
      <c r="E436" t="str">
        <f>"C:\TOC3201\Methods\Itamar\acid_sample.met"</f>
        <v>C:\TOC3201\Methods\Itamar\acid_sample.met</v>
      </c>
      <c r="F436" t="str">
        <f>"C:\TOC3201\CalCurves\Itamar\C_cal_100ppm_acid_laurel.2019_08_15_10_24_40.cal"</f>
        <v>C:\TOC3201\CalCurves\Itamar\C_cal_100ppm_acid_laurel.2019_08_15_10_24_40.cal</v>
      </c>
      <c r="G436">
        <v>1</v>
      </c>
      <c r="H436" t="str">
        <f>""</f>
        <v/>
      </c>
      <c r="I436" t="str">
        <f>"8/16/2019 7:06:36 AM"</f>
        <v>8/16/2019 7:06:36 AM</v>
      </c>
      <c r="J436" t="str">
        <f>"1"</f>
        <v>1</v>
      </c>
      <c r="K436" t="str">
        <f>"2"</f>
        <v>2</v>
      </c>
      <c r="L436" t="str">
        <f>"NPOC"</f>
        <v>NPOC</v>
      </c>
      <c r="M436" t="str">
        <f>"77.29"</f>
        <v>77.29</v>
      </c>
      <c r="N436" t="str">
        <f>"15.93"</f>
        <v>15.93</v>
      </c>
      <c r="O436" t="str">
        <f>"NPOC:16.26mg/L TN:2.399mg/L"</f>
        <v>NPOC:16.26mg/L TN:2.399mg/L</v>
      </c>
      <c r="P436">
        <v>0</v>
      </c>
      <c r="Q436" t="str">
        <f>"80"</f>
        <v>80</v>
      </c>
    </row>
    <row r="437" spans="1:17" x14ac:dyDescent="0.2">
      <c r="A437" t="str">
        <f>"Unknown"</f>
        <v>Unknown</v>
      </c>
      <c r="B437" t="str">
        <f>"NPOC/TN"</f>
        <v>NPOC/TN</v>
      </c>
      <c r="C437" t="str">
        <f>"1064"</f>
        <v>1064</v>
      </c>
      <c r="D437" t="str">
        <f>"40"</f>
        <v>40</v>
      </c>
      <c r="E437" t="str">
        <f>"C:\TOC3201\Methods\Itamar\acid_sample.met"</f>
        <v>C:\TOC3201\Methods\Itamar\acid_sample.met</v>
      </c>
      <c r="F437" t="str">
        <f>"C:\TOC3201\CalCurves\Itamar\C_cal_100ppm_acid_laurel.2019_08_15_10_24_40.cal"</f>
        <v>C:\TOC3201\CalCurves\Itamar\C_cal_100ppm_acid_laurel.2019_08_15_10_24_40.cal</v>
      </c>
      <c r="G437">
        <v>1</v>
      </c>
      <c r="H437" t="str">
        <f>""</f>
        <v/>
      </c>
      <c r="I437" t="str">
        <f>"8/16/2019 7:10:08 AM"</f>
        <v>8/16/2019 7:10:08 AM</v>
      </c>
      <c r="J437" t="str">
        <f>"1"</f>
        <v>1</v>
      </c>
      <c r="K437" t="str">
        <f>"3"</f>
        <v>3</v>
      </c>
      <c r="L437" t="str">
        <f>"NPOC"</f>
        <v>NPOC</v>
      </c>
      <c r="M437" t="str">
        <f>"80.02"</f>
        <v>80.02</v>
      </c>
      <c r="N437" t="str">
        <f>"16.49"</f>
        <v>16.49</v>
      </c>
      <c r="O437" t="str">
        <f>"NPOC:16.26mg/L TN:2.399mg/L"</f>
        <v>NPOC:16.26mg/L TN:2.399mg/L</v>
      </c>
      <c r="P437">
        <v>0</v>
      </c>
      <c r="Q437" t="str">
        <f>"80"</f>
        <v>80</v>
      </c>
    </row>
    <row r="438" spans="1:17" x14ac:dyDescent="0.2">
      <c r="A438" t="str">
        <f>"Unknown"</f>
        <v>Unknown</v>
      </c>
      <c r="B438" t="str">
        <f>"NPOC/TN"</f>
        <v>NPOC/TN</v>
      </c>
      <c r="C438" t="str">
        <f>"1064"</f>
        <v>1064</v>
      </c>
      <c r="D438" t="str">
        <f>"40"</f>
        <v>40</v>
      </c>
      <c r="E438" t="str">
        <f>"C:\TOC3201\Methods\Itamar\acid_sample.met"</f>
        <v>C:\TOC3201\Methods\Itamar\acid_sample.met</v>
      </c>
      <c r="F438" t="str">
        <f>"C:\TOC3201\CalCurves\Itamar\N_cal_25ppm_acid_laurel.2019_08_15_12_20_41.cal"</f>
        <v>C:\TOC3201\CalCurves\Itamar\N_cal_25ppm_acid_laurel.2019_08_15_12_20_41.cal</v>
      </c>
      <c r="G438">
        <v>1</v>
      </c>
      <c r="H438" t="str">
        <f>""</f>
        <v/>
      </c>
      <c r="I438" t="str">
        <f>"8/16/2019 7:02:55 AM"</f>
        <v>8/16/2019 7:02:55 AM</v>
      </c>
      <c r="J438" t="str">
        <f>"1"</f>
        <v>1</v>
      </c>
      <c r="K438" t="str">
        <f>"1"</f>
        <v>1</v>
      </c>
      <c r="L438" t="str">
        <f>"TN"</f>
        <v>TN</v>
      </c>
      <c r="M438" t="str">
        <f>"8.894"</f>
        <v>8.894</v>
      </c>
      <c r="N438" t="str">
        <f>"2.427"</f>
        <v>2.427</v>
      </c>
      <c r="O438" t="str">
        <f>"NPOC:16.26mg/L TN:2.399mg/L"</f>
        <v>NPOC:16.26mg/L TN:2.399mg/L</v>
      </c>
      <c r="P438">
        <v>0</v>
      </c>
      <c r="Q438" t="str">
        <f>"80"</f>
        <v>80</v>
      </c>
    </row>
    <row r="439" spans="1:17" x14ac:dyDescent="0.2">
      <c r="A439" t="str">
        <f>"Unknown"</f>
        <v>Unknown</v>
      </c>
      <c r="B439" t="str">
        <f>"NPOC/TN"</f>
        <v>NPOC/TN</v>
      </c>
      <c r="C439" t="str">
        <f>"1064"</f>
        <v>1064</v>
      </c>
      <c r="D439" t="str">
        <f>"40"</f>
        <v>40</v>
      </c>
      <c r="E439" t="str">
        <f>"C:\TOC3201\Methods\Itamar\acid_sample.met"</f>
        <v>C:\TOC3201\Methods\Itamar\acid_sample.met</v>
      </c>
      <c r="F439" t="str">
        <f>"C:\TOC3201\CalCurves\Itamar\N_cal_25ppm_acid_laurel.2019_08_15_12_20_41.cal"</f>
        <v>C:\TOC3201\CalCurves\Itamar\N_cal_25ppm_acid_laurel.2019_08_15_12_20_41.cal</v>
      </c>
      <c r="G439">
        <v>1</v>
      </c>
      <c r="H439" t="str">
        <f>""</f>
        <v/>
      </c>
      <c r="I439" t="str">
        <f>"8/16/2019 7:06:36 AM"</f>
        <v>8/16/2019 7:06:36 AM</v>
      </c>
      <c r="J439" t="str">
        <f>"1"</f>
        <v>1</v>
      </c>
      <c r="K439" t="str">
        <f>"2"</f>
        <v>2</v>
      </c>
      <c r="L439" t="str">
        <f>"TN"</f>
        <v>TN</v>
      </c>
      <c r="M439" t="str">
        <f>"8.444"</f>
        <v>8.444</v>
      </c>
      <c r="N439" t="str">
        <f>"2.312"</f>
        <v>2.312</v>
      </c>
      <c r="O439" t="str">
        <f>"NPOC:16.26mg/L TN:2.399mg/L"</f>
        <v>NPOC:16.26mg/L TN:2.399mg/L</v>
      </c>
      <c r="P439">
        <v>1</v>
      </c>
      <c r="Q439" t="str">
        <f>"80"</f>
        <v>80</v>
      </c>
    </row>
    <row r="440" spans="1:17" x14ac:dyDescent="0.2">
      <c r="A440" t="str">
        <f>"Unknown"</f>
        <v>Unknown</v>
      </c>
      <c r="B440" t="str">
        <f>"NPOC/TN"</f>
        <v>NPOC/TN</v>
      </c>
      <c r="C440" t="str">
        <f>"1064"</f>
        <v>1064</v>
      </c>
      <c r="D440" t="str">
        <f>"40"</f>
        <v>40</v>
      </c>
      <c r="E440" t="str">
        <f>"C:\TOC3201\Methods\Itamar\acid_sample.met"</f>
        <v>C:\TOC3201\Methods\Itamar\acid_sample.met</v>
      </c>
      <c r="F440" t="str">
        <f>"C:\TOC3201\CalCurves\Itamar\N_cal_25ppm_acid_laurel.2019_08_15_12_20_41.cal"</f>
        <v>C:\TOC3201\CalCurves\Itamar\N_cal_25ppm_acid_laurel.2019_08_15_12_20_41.cal</v>
      </c>
      <c r="G440">
        <v>1</v>
      </c>
      <c r="H440" t="str">
        <f>""</f>
        <v/>
      </c>
      <c r="I440" t="str">
        <f>"8/16/2019 7:10:08 AM"</f>
        <v>8/16/2019 7:10:08 AM</v>
      </c>
      <c r="J440" t="str">
        <f>"1"</f>
        <v>1</v>
      </c>
      <c r="K440" t="str">
        <f>"3"</f>
        <v>3</v>
      </c>
      <c r="L440" t="str">
        <f>"TN"</f>
        <v>TN</v>
      </c>
      <c r="M440" t="str">
        <f>"8.700"</f>
        <v>8.700</v>
      </c>
      <c r="N440" t="str">
        <f>"2.378"</f>
        <v>2.378</v>
      </c>
      <c r="O440" t="str">
        <f>"NPOC:16.26mg/L TN:2.399mg/L"</f>
        <v>NPOC:16.26mg/L TN:2.399mg/L</v>
      </c>
      <c r="P440">
        <v>0</v>
      </c>
      <c r="Q440" t="str">
        <f>"80"</f>
        <v>80</v>
      </c>
    </row>
    <row r="441" spans="1:17" x14ac:dyDescent="0.2">
      <c r="A441" t="str">
        <f>"Unknown"</f>
        <v>Unknown</v>
      </c>
      <c r="B441" t="str">
        <f>"NPOC/TN"</f>
        <v>NPOC/TN</v>
      </c>
      <c r="C441" t="str">
        <f>"1064"</f>
        <v>1064</v>
      </c>
      <c r="D441" t="str">
        <f>"40"</f>
        <v>40</v>
      </c>
      <c r="E441" t="str">
        <f>"C:\TOC3201\Methods\Itamar\acid_sample.met"</f>
        <v>C:\TOC3201\Methods\Itamar\acid_sample.met</v>
      </c>
      <c r="F441" t="str">
        <f>"C:\TOC3201\CalCurves\Itamar\N_cal_25ppm_acid_laurel.2019_08_15_12_20_41.cal"</f>
        <v>C:\TOC3201\CalCurves\Itamar\N_cal_25ppm_acid_laurel.2019_08_15_12_20_41.cal</v>
      </c>
      <c r="G441">
        <v>1</v>
      </c>
      <c r="H441" t="str">
        <f>""</f>
        <v/>
      </c>
      <c r="I441" t="str">
        <f>"8/16/2019 7:13:17 AM"</f>
        <v>8/16/2019 7:13:17 AM</v>
      </c>
      <c r="J441" t="str">
        <f>"1"</f>
        <v>1</v>
      </c>
      <c r="K441" t="str">
        <f>"4"</f>
        <v>4</v>
      </c>
      <c r="L441" t="str">
        <f>"TN"</f>
        <v>TN</v>
      </c>
      <c r="M441" t="str">
        <f>"9.375"</f>
        <v>9.375</v>
      </c>
      <c r="N441" t="str">
        <f>"2.550"</f>
        <v>2.550</v>
      </c>
      <c r="O441" t="str">
        <f>"NPOC:16.26mg/L TN:2.399mg/L"</f>
        <v>NPOC:16.26mg/L TN:2.399mg/L</v>
      </c>
      <c r="P441">
        <v>1</v>
      </c>
      <c r="Q441" t="str">
        <f>"80"</f>
        <v>80</v>
      </c>
    </row>
    <row r="442" spans="1:17" x14ac:dyDescent="0.2">
      <c r="A442" t="str">
        <f>"Unknown"</f>
        <v>Unknown</v>
      </c>
      <c r="B442" t="str">
        <f>"NPOC/TN"</f>
        <v>NPOC/TN</v>
      </c>
      <c r="C442" t="str">
        <f>"1064"</f>
        <v>1064</v>
      </c>
      <c r="D442" t="str">
        <f>"40"</f>
        <v>40</v>
      </c>
      <c r="E442" t="str">
        <f>"C:\TOC3201\Methods\Itamar\acid_sample.met"</f>
        <v>C:\TOC3201\Methods\Itamar\acid_sample.met</v>
      </c>
      <c r="F442" t="str">
        <f>"C:\TOC3201\CalCurves\Itamar\N_cal_25ppm_acid_laurel.2019_08_15_12_20_41.cal"</f>
        <v>C:\TOC3201\CalCurves\Itamar\N_cal_25ppm_acid_laurel.2019_08_15_12_20_41.cal</v>
      </c>
      <c r="G442">
        <v>1</v>
      </c>
      <c r="H442" t="str">
        <f>""</f>
        <v/>
      </c>
      <c r="I442" t="str">
        <f>"8/16/2019 7:16:28 AM"</f>
        <v>8/16/2019 7:16:28 AM</v>
      </c>
      <c r="J442" t="str">
        <f>"1"</f>
        <v>1</v>
      </c>
      <c r="K442" t="str">
        <f>"5"</f>
        <v>5</v>
      </c>
      <c r="L442" t="str">
        <f>"TN"</f>
        <v>TN</v>
      </c>
      <c r="M442" t="str">
        <f>"8.760"</f>
        <v>8.760</v>
      </c>
      <c r="N442" t="str">
        <f>"2.393"</f>
        <v>2.393</v>
      </c>
      <c r="O442" t="str">
        <f>"NPOC:16.26mg/L TN:2.399mg/L"</f>
        <v>NPOC:16.26mg/L TN:2.399mg/L</v>
      </c>
      <c r="P442">
        <v>0</v>
      </c>
      <c r="Q442" t="str">
        <f>"80"</f>
        <v>80</v>
      </c>
    </row>
    <row r="443" spans="1:17" x14ac:dyDescent="0.2">
      <c r="A443" t="str">
        <f>"Unknown"</f>
        <v>Unknown</v>
      </c>
      <c r="B443" t="str">
        <f>"NPOC/TN"</f>
        <v>NPOC/TN</v>
      </c>
      <c r="C443" t="str">
        <f>"1066"</f>
        <v>1066</v>
      </c>
      <c r="D443" t="str">
        <f>"41"</f>
        <v>41</v>
      </c>
      <c r="E443" t="str">
        <f>"C:\TOC3201\Methods\Itamar\acid_sample.met"</f>
        <v>C:\TOC3201\Methods\Itamar\acid_sample.met</v>
      </c>
      <c r="F443" t="str">
        <f>"C:\TOC3201\CalCurves\Itamar\C_cal_100ppm_acid_laurel.2019_08_15_10_24_40.cal"</f>
        <v>C:\TOC3201\CalCurves\Itamar\C_cal_100ppm_acid_laurel.2019_08_15_10_24_40.cal</v>
      </c>
      <c r="G443">
        <v>1</v>
      </c>
      <c r="H443" t="str">
        <f>""</f>
        <v/>
      </c>
      <c r="I443" t="str">
        <f>"8/16/2019 7:26:39 AM"</f>
        <v>8/16/2019 7:26:39 AM</v>
      </c>
      <c r="J443" t="str">
        <f>"1"</f>
        <v>1</v>
      </c>
      <c r="K443" t="str">
        <f>"1"</f>
        <v>1</v>
      </c>
      <c r="L443" t="str">
        <f>"NPOC"</f>
        <v>NPOC</v>
      </c>
      <c r="M443" t="str">
        <f>"85.05"</f>
        <v>85.05</v>
      </c>
      <c r="N443" t="str">
        <f>"17.53"</f>
        <v>17.53</v>
      </c>
      <c r="O443" t="str">
        <f>"NPOC:17.62mg/L TN:2.640mg/L"</f>
        <v>NPOC:17.62mg/L TN:2.640mg/L</v>
      </c>
      <c r="P443">
        <v>0</v>
      </c>
      <c r="Q443" t="str">
        <f>"80"</f>
        <v>80</v>
      </c>
    </row>
    <row r="444" spans="1:17" x14ac:dyDescent="0.2">
      <c r="A444" t="str">
        <f>"Unknown"</f>
        <v>Unknown</v>
      </c>
      <c r="B444" t="str">
        <f>"NPOC/TN"</f>
        <v>NPOC/TN</v>
      </c>
      <c r="C444" t="str">
        <f>"1066"</f>
        <v>1066</v>
      </c>
      <c r="D444" t="str">
        <f>"41"</f>
        <v>41</v>
      </c>
      <c r="E444" t="str">
        <f>"C:\TOC3201\Methods\Itamar\acid_sample.met"</f>
        <v>C:\TOC3201\Methods\Itamar\acid_sample.met</v>
      </c>
      <c r="F444" t="str">
        <f>"C:\TOC3201\CalCurves\Itamar\C_cal_100ppm_acid_laurel.2019_08_15_10_24_40.cal"</f>
        <v>C:\TOC3201\CalCurves\Itamar\C_cal_100ppm_acid_laurel.2019_08_15_10_24_40.cal</v>
      </c>
      <c r="G444">
        <v>1</v>
      </c>
      <c r="H444" t="str">
        <f>""</f>
        <v/>
      </c>
      <c r="I444" t="str">
        <f>"8/16/2019 7:30:10 AM"</f>
        <v>8/16/2019 7:30:10 AM</v>
      </c>
      <c r="J444" t="str">
        <f>"1"</f>
        <v>1</v>
      </c>
      <c r="K444" t="str">
        <f>"2"</f>
        <v>2</v>
      </c>
      <c r="L444" t="str">
        <f>"NPOC"</f>
        <v>NPOC</v>
      </c>
      <c r="M444" t="str">
        <f>"82.08"</f>
        <v>82.08</v>
      </c>
      <c r="N444" t="str">
        <f>"16.92"</f>
        <v>16.92</v>
      </c>
      <c r="O444" t="str">
        <f>"NPOC:17.62mg/L TN:2.640mg/L"</f>
        <v>NPOC:17.62mg/L TN:2.640mg/L</v>
      </c>
      <c r="P444">
        <v>1</v>
      </c>
      <c r="Q444" t="str">
        <f>"80"</f>
        <v>80</v>
      </c>
    </row>
    <row r="445" spans="1:17" x14ac:dyDescent="0.2">
      <c r="A445" t="str">
        <f>"Unknown"</f>
        <v>Unknown</v>
      </c>
      <c r="B445" t="str">
        <f>"NPOC/TN"</f>
        <v>NPOC/TN</v>
      </c>
      <c r="C445" t="str">
        <f>"1066"</f>
        <v>1066</v>
      </c>
      <c r="D445" t="str">
        <f>"41"</f>
        <v>41</v>
      </c>
      <c r="E445" t="str">
        <f>"C:\TOC3201\Methods\Itamar\acid_sample.met"</f>
        <v>C:\TOC3201\Methods\Itamar\acid_sample.met</v>
      </c>
      <c r="F445" t="str">
        <f>"C:\TOC3201\CalCurves\Itamar\C_cal_100ppm_acid_laurel.2019_08_15_10_24_40.cal"</f>
        <v>C:\TOC3201\CalCurves\Itamar\C_cal_100ppm_acid_laurel.2019_08_15_10_24_40.cal</v>
      </c>
      <c r="G445">
        <v>1</v>
      </c>
      <c r="H445" t="str">
        <f>""</f>
        <v/>
      </c>
      <c r="I445" t="str">
        <f>"8/16/2019 7:33:45 AM"</f>
        <v>8/16/2019 7:33:45 AM</v>
      </c>
      <c r="J445" t="str">
        <f>"1"</f>
        <v>1</v>
      </c>
      <c r="K445" t="str">
        <f>"3"</f>
        <v>3</v>
      </c>
      <c r="L445" t="str">
        <f>"NPOC"</f>
        <v>NPOC</v>
      </c>
      <c r="M445" t="str">
        <f>"86.26"</f>
        <v>86.26</v>
      </c>
      <c r="N445" t="str">
        <f>"17.77"</f>
        <v>17.77</v>
      </c>
      <c r="O445" t="str">
        <f>"NPOC:17.62mg/L TN:2.640mg/L"</f>
        <v>NPOC:17.62mg/L TN:2.640mg/L</v>
      </c>
      <c r="P445">
        <v>0</v>
      </c>
      <c r="Q445" t="str">
        <f>"80"</f>
        <v>80</v>
      </c>
    </row>
    <row r="446" spans="1:17" x14ac:dyDescent="0.2">
      <c r="A446" t="str">
        <f>"Unknown"</f>
        <v>Unknown</v>
      </c>
      <c r="B446" t="str">
        <f>"NPOC/TN"</f>
        <v>NPOC/TN</v>
      </c>
      <c r="C446" t="str">
        <f>"1066"</f>
        <v>1066</v>
      </c>
      <c r="D446" t="str">
        <f>"41"</f>
        <v>41</v>
      </c>
      <c r="E446" t="str">
        <f>"C:\TOC3201\Methods\Itamar\acid_sample.met"</f>
        <v>C:\TOC3201\Methods\Itamar\acid_sample.met</v>
      </c>
      <c r="F446" t="str">
        <f>"C:\TOC3201\CalCurves\Itamar\C_cal_100ppm_acid_laurel.2019_08_15_10_24_40.cal"</f>
        <v>C:\TOC3201\CalCurves\Itamar\C_cal_100ppm_acid_laurel.2019_08_15_10_24_40.cal</v>
      </c>
      <c r="G446">
        <v>1</v>
      </c>
      <c r="H446" t="str">
        <f>""</f>
        <v/>
      </c>
      <c r="I446" t="str">
        <f>"8/16/2019 7:37:30 AM"</f>
        <v>8/16/2019 7:37:30 AM</v>
      </c>
      <c r="J446" t="str">
        <f>"1"</f>
        <v>1</v>
      </c>
      <c r="K446" t="str">
        <f>"4"</f>
        <v>4</v>
      </c>
      <c r="L446" t="str">
        <f>"NPOC"</f>
        <v>NPOC</v>
      </c>
      <c r="M446" t="str">
        <f>"85.24"</f>
        <v>85.24</v>
      </c>
      <c r="N446" t="str">
        <f>"17.56"</f>
        <v>17.56</v>
      </c>
      <c r="O446" t="str">
        <f>"NPOC:17.62mg/L TN:2.640mg/L"</f>
        <v>NPOC:17.62mg/L TN:2.640mg/L</v>
      </c>
      <c r="P446">
        <v>0</v>
      </c>
      <c r="Q446" t="str">
        <f>"80"</f>
        <v>80</v>
      </c>
    </row>
    <row r="447" spans="1:17" x14ac:dyDescent="0.2">
      <c r="A447" t="str">
        <f>"Unknown"</f>
        <v>Unknown</v>
      </c>
      <c r="B447" t="str">
        <f>"NPOC/TN"</f>
        <v>NPOC/TN</v>
      </c>
      <c r="C447" t="str">
        <f>"1066"</f>
        <v>1066</v>
      </c>
      <c r="D447" t="str">
        <f>"41"</f>
        <v>41</v>
      </c>
      <c r="E447" t="str">
        <f>"C:\TOC3201\Methods\Itamar\acid_sample.met"</f>
        <v>C:\TOC3201\Methods\Itamar\acid_sample.met</v>
      </c>
      <c r="F447" t="str">
        <f>"C:\TOC3201\CalCurves\Itamar\N_cal_25ppm_acid_laurel.2019_08_15_12_20_41.cal"</f>
        <v>C:\TOC3201\CalCurves\Itamar\N_cal_25ppm_acid_laurel.2019_08_15_12_20_41.cal</v>
      </c>
      <c r="G447">
        <v>1</v>
      </c>
      <c r="H447" t="str">
        <f>""</f>
        <v/>
      </c>
      <c r="I447" t="str">
        <f>"8/16/2019 7:26:39 AM"</f>
        <v>8/16/2019 7:26:39 AM</v>
      </c>
      <c r="J447" t="str">
        <f>"1"</f>
        <v>1</v>
      </c>
      <c r="K447" t="str">
        <f>"1"</f>
        <v>1</v>
      </c>
      <c r="L447" t="str">
        <f>"TN"</f>
        <v>TN</v>
      </c>
      <c r="M447" t="str">
        <f>"10.00"</f>
        <v>10.00</v>
      </c>
      <c r="N447" t="str">
        <f>"2.709"</f>
        <v>2.709</v>
      </c>
      <c r="O447" t="str">
        <f>"NPOC:17.62mg/L TN:2.640mg/L"</f>
        <v>NPOC:17.62mg/L TN:2.640mg/L</v>
      </c>
      <c r="P447">
        <v>0</v>
      </c>
      <c r="Q447" t="str">
        <f>"80"</f>
        <v>80</v>
      </c>
    </row>
    <row r="448" spans="1:17" x14ac:dyDescent="0.2">
      <c r="A448" t="str">
        <f>"Unknown"</f>
        <v>Unknown</v>
      </c>
      <c r="B448" t="str">
        <f>"NPOC/TN"</f>
        <v>NPOC/TN</v>
      </c>
      <c r="C448" t="str">
        <f>"1066"</f>
        <v>1066</v>
      </c>
      <c r="D448" t="str">
        <f>"41"</f>
        <v>41</v>
      </c>
      <c r="E448" t="str">
        <f>"C:\TOC3201\Methods\Itamar\acid_sample.met"</f>
        <v>C:\TOC3201\Methods\Itamar\acid_sample.met</v>
      </c>
      <c r="F448" t="str">
        <f>"C:\TOC3201\CalCurves\Itamar\N_cal_25ppm_acid_laurel.2019_08_15_12_20_41.cal"</f>
        <v>C:\TOC3201\CalCurves\Itamar\N_cal_25ppm_acid_laurel.2019_08_15_12_20_41.cal</v>
      </c>
      <c r="G448">
        <v>1</v>
      </c>
      <c r="H448" t="str">
        <f>""</f>
        <v/>
      </c>
      <c r="I448" t="str">
        <f>"8/16/2019 7:30:10 AM"</f>
        <v>8/16/2019 7:30:10 AM</v>
      </c>
      <c r="J448" t="str">
        <f>"1"</f>
        <v>1</v>
      </c>
      <c r="K448" t="str">
        <f>"2"</f>
        <v>2</v>
      </c>
      <c r="L448" t="str">
        <f>"TN"</f>
        <v>TN</v>
      </c>
      <c r="M448" t="str">
        <f>"9.765"</f>
        <v>9.765</v>
      </c>
      <c r="N448" t="str">
        <f>"2.649"</f>
        <v>2.649</v>
      </c>
      <c r="O448" t="str">
        <f>"NPOC:17.62mg/L TN:2.640mg/L"</f>
        <v>NPOC:17.62mg/L TN:2.640mg/L</v>
      </c>
      <c r="P448">
        <v>0</v>
      </c>
      <c r="Q448" t="str">
        <f>"80"</f>
        <v>80</v>
      </c>
    </row>
    <row r="449" spans="1:17" x14ac:dyDescent="0.2">
      <c r="A449" t="str">
        <f>"Unknown"</f>
        <v>Unknown</v>
      </c>
      <c r="B449" t="str">
        <f>"NPOC/TN"</f>
        <v>NPOC/TN</v>
      </c>
      <c r="C449" t="str">
        <f>"1066"</f>
        <v>1066</v>
      </c>
      <c r="D449" t="str">
        <f>"41"</f>
        <v>41</v>
      </c>
      <c r="E449" t="str">
        <f>"C:\TOC3201\Methods\Itamar\acid_sample.met"</f>
        <v>C:\TOC3201\Methods\Itamar\acid_sample.met</v>
      </c>
      <c r="F449" t="str">
        <f>"C:\TOC3201\CalCurves\Itamar\N_cal_25ppm_acid_laurel.2019_08_15_12_20_41.cal"</f>
        <v>C:\TOC3201\CalCurves\Itamar\N_cal_25ppm_acid_laurel.2019_08_15_12_20_41.cal</v>
      </c>
      <c r="G449">
        <v>1</v>
      </c>
      <c r="H449" t="str">
        <f>""</f>
        <v/>
      </c>
      <c r="I449" t="str">
        <f>"8/16/2019 7:33:45 AM"</f>
        <v>8/16/2019 7:33:45 AM</v>
      </c>
      <c r="J449" t="str">
        <f>"1"</f>
        <v>1</v>
      </c>
      <c r="K449" t="str">
        <f>"3"</f>
        <v>3</v>
      </c>
      <c r="L449" t="str">
        <f>"TN"</f>
        <v>TN</v>
      </c>
      <c r="M449" t="str">
        <f>"11.17"</f>
        <v>11.17</v>
      </c>
      <c r="N449" t="str">
        <f>"3.007"</f>
        <v>3.007</v>
      </c>
      <c r="O449" t="str">
        <f>"NPOC:17.62mg/L TN:2.640mg/L"</f>
        <v>NPOC:17.62mg/L TN:2.640mg/L</v>
      </c>
      <c r="P449">
        <v>1</v>
      </c>
      <c r="Q449" t="str">
        <f>"80"</f>
        <v>80</v>
      </c>
    </row>
    <row r="450" spans="1:17" x14ac:dyDescent="0.2">
      <c r="A450" t="str">
        <f>"Unknown"</f>
        <v>Unknown</v>
      </c>
      <c r="B450" t="str">
        <f>"NPOC/TN"</f>
        <v>NPOC/TN</v>
      </c>
      <c r="C450" t="str">
        <f>"1066"</f>
        <v>1066</v>
      </c>
      <c r="D450" t="str">
        <f>"41"</f>
        <v>41</v>
      </c>
      <c r="E450" t="str">
        <f>"C:\TOC3201\Methods\Itamar\acid_sample.met"</f>
        <v>C:\TOC3201\Methods\Itamar\acid_sample.met</v>
      </c>
      <c r="F450" t="str">
        <f>"C:\TOC3201\CalCurves\Itamar\N_cal_25ppm_acid_laurel.2019_08_15_12_20_41.cal"</f>
        <v>C:\TOC3201\CalCurves\Itamar\N_cal_25ppm_acid_laurel.2019_08_15_12_20_41.cal</v>
      </c>
      <c r="G450">
        <v>1</v>
      </c>
      <c r="H450" t="str">
        <f>""</f>
        <v/>
      </c>
      <c r="I450" t="str">
        <f>"8/16/2019 7:37:30 AM"</f>
        <v>8/16/2019 7:37:30 AM</v>
      </c>
      <c r="J450" t="str">
        <f>"1"</f>
        <v>1</v>
      </c>
      <c r="K450" t="str">
        <f>"4"</f>
        <v>4</v>
      </c>
      <c r="L450" t="str">
        <f>"TN"</f>
        <v>TN</v>
      </c>
      <c r="M450" t="str">
        <f>"11.49"</f>
        <v>11.49</v>
      </c>
      <c r="N450" t="str">
        <f>"3.089"</f>
        <v>3.089</v>
      </c>
      <c r="O450" t="str">
        <f>"NPOC:17.62mg/L TN:2.640mg/L"</f>
        <v>NPOC:17.62mg/L TN:2.640mg/L</v>
      </c>
      <c r="P450">
        <v>1</v>
      </c>
      <c r="Q450" t="str">
        <f>"80"</f>
        <v>80</v>
      </c>
    </row>
    <row r="451" spans="1:17" x14ac:dyDescent="0.2">
      <c r="A451" t="str">
        <f>"Unknown"</f>
        <v>Unknown</v>
      </c>
      <c r="B451" t="str">
        <f>"NPOC/TN"</f>
        <v>NPOC/TN</v>
      </c>
      <c r="C451" t="str">
        <f>"1066"</f>
        <v>1066</v>
      </c>
      <c r="D451" t="str">
        <f>"41"</f>
        <v>41</v>
      </c>
      <c r="E451" t="str">
        <f>"C:\TOC3201\Methods\Itamar\acid_sample.met"</f>
        <v>C:\TOC3201\Methods\Itamar\acid_sample.met</v>
      </c>
      <c r="F451" t="str">
        <f>"C:\TOC3201\CalCurves\Itamar\N_cal_25ppm_acid_laurel.2019_08_15_12_20_41.cal"</f>
        <v>C:\TOC3201\CalCurves\Itamar\N_cal_25ppm_acid_laurel.2019_08_15_12_20_41.cal</v>
      </c>
      <c r="G451">
        <v>1</v>
      </c>
      <c r="H451" t="str">
        <f>""</f>
        <v/>
      </c>
      <c r="I451" t="str">
        <f>"8/16/2019 7:40:33 AM"</f>
        <v>8/16/2019 7:40:33 AM</v>
      </c>
      <c r="J451" t="str">
        <f>"1"</f>
        <v>1</v>
      </c>
      <c r="K451" t="str">
        <f>"5"</f>
        <v>5</v>
      </c>
      <c r="L451" t="str">
        <f>"TN"</f>
        <v>TN</v>
      </c>
      <c r="M451" t="str">
        <f>"9.421"</f>
        <v>9.421</v>
      </c>
      <c r="N451" t="str">
        <f>"2.561"</f>
        <v>2.561</v>
      </c>
      <c r="O451" t="str">
        <f>"NPOC:17.62mg/L TN:2.640mg/L"</f>
        <v>NPOC:17.62mg/L TN:2.640mg/L</v>
      </c>
      <c r="P451">
        <v>0</v>
      </c>
      <c r="Q451" t="str">
        <f>"80"</f>
        <v>80</v>
      </c>
    </row>
    <row r="452" spans="1:17" x14ac:dyDescent="0.2">
      <c r="A452" t="str">
        <f>"Unknown"</f>
        <v>Unknown</v>
      </c>
      <c r="B452" t="str">
        <f>"NPOC/TN"</f>
        <v>NPOC/TN</v>
      </c>
      <c r="C452" t="str">
        <f>"1068"</f>
        <v>1068</v>
      </c>
      <c r="D452" t="str">
        <f>"42"</f>
        <v>42</v>
      </c>
      <c r="E452" t="str">
        <f>"C:\TOC3201\Methods\Itamar\acid_sample.met"</f>
        <v>C:\TOC3201\Methods\Itamar\acid_sample.met</v>
      </c>
      <c r="F452" t="str">
        <f>"C:\TOC3201\CalCurves\Itamar\C_cal_100ppm_acid_laurel.2019_08_15_10_24_40.cal"</f>
        <v>C:\TOC3201\CalCurves\Itamar\C_cal_100ppm_acid_laurel.2019_08_15_10_24_40.cal</v>
      </c>
      <c r="G452">
        <v>1</v>
      </c>
      <c r="H452" t="str">
        <f>""</f>
        <v/>
      </c>
      <c r="I452" t="str">
        <f>"8/16/2019 7:50:41 AM"</f>
        <v>8/16/2019 7:50:41 AM</v>
      </c>
      <c r="J452" t="str">
        <f>"1"</f>
        <v>1</v>
      </c>
      <c r="K452" t="str">
        <f>"1"</f>
        <v>1</v>
      </c>
      <c r="L452" t="str">
        <f>"NPOC"</f>
        <v>NPOC</v>
      </c>
      <c r="M452" t="str">
        <f>"83.62"</f>
        <v>83.62</v>
      </c>
      <c r="N452" t="str">
        <f>"17.23"</f>
        <v>17.23</v>
      </c>
      <c r="O452" t="str">
        <f>"NPOC:17.21mg/L TN:2.701mg/L"</f>
        <v>NPOC:17.21mg/L TN:2.701mg/L</v>
      </c>
      <c r="P452">
        <v>0</v>
      </c>
      <c r="Q452" t="str">
        <f>"80"</f>
        <v>80</v>
      </c>
    </row>
    <row r="453" spans="1:17" x14ac:dyDescent="0.2">
      <c r="A453" t="str">
        <f>"Unknown"</f>
        <v>Unknown</v>
      </c>
      <c r="B453" t="str">
        <f>"NPOC/TN"</f>
        <v>NPOC/TN</v>
      </c>
      <c r="C453" t="str">
        <f>"1068"</f>
        <v>1068</v>
      </c>
      <c r="D453" t="str">
        <f>"42"</f>
        <v>42</v>
      </c>
      <c r="E453" t="str">
        <f>"C:\TOC3201\Methods\Itamar\acid_sample.met"</f>
        <v>C:\TOC3201\Methods\Itamar\acid_sample.met</v>
      </c>
      <c r="F453" t="str">
        <f>"C:\TOC3201\CalCurves\Itamar\C_cal_100ppm_acid_laurel.2019_08_15_10_24_40.cal"</f>
        <v>C:\TOC3201\CalCurves\Itamar\C_cal_100ppm_acid_laurel.2019_08_15_10_24_40.cal</v>
      </c>
      <c r="G453">
        <v>1</v>
      </c>
      <c r="H453" t="str">
        <f>""</f>
        <v/>
      </c>
      <c r="I453" t="str">
        <f>"8/16/2019 7:54:16 AM"</f>
        <v>8/16/2019 7:54:16 AM</v>
      </c>
      <c r="J453" t="str">
        <f>"1"</f>
        <v>1</v>
      </c>
      <c r="K453" t="str">
        <f>"2"</f>
        <v>2</v>
      </c>
      <c r="L453" t="str">
        <f>"NPOC"</f>
        <v>NPOC</v>
      </c>
      <c r="M453" t="str">
        <f>"81.92"</f>
        <v>81.92</v>
      </c>
      <c r="N453" t="str">
        <f>"16.88"</f>
        <v>16.88</v>
      </c>
      <c r="O453" t="str">
        <f>"NPOC:17.21mg/L TN:2.701mg/L"</f>
        <v>NPOC:17.21mg/L TN:2.701mg/L</v>
      </c>
      <c r="P453">
        <v>0</v>
      </c>
      <c r="Q453" t="str">
        <f>"80"</f>
        <v>80</v>
      </c>
    </row>
    <row r="454" spans="1:17" x14ac:dyDescent="0.2">
      <c r="A454" t="str">
        <f>"Unknown"</f>
        <v>Unknown</v>
      </c>
      <c r="B454" t="str">
        <f>"NPOC/TN"</f>
        <v>NPOC/TN</v>
      </c>
      <c r="C454" t="str">
        <f>"1068"</f>
        <v>1068</v>
      </c>
      <c r="D454" t="str">
        <f>"42"</f>
        <v>42</v>
      </c>
      <c r="E454" t="str">
        <f>"C:\TOC3201\Methods\Itamar\acid_sample.met"</f>
        <v>C:\TOC3201\Methods\Itamar\acid_sample.met</v>
      </c>
      <c r="F454" t="str">
        <f>"C:\TOC3201\CalCurves\Itamar\C_cal_100ppm_acid_laurel.2019_08_15_10_24_40.cal"</f>
        <v>C:\TOC3201\CalCurves\Itamar\C_cal_100ppm_acid_laurel.2019_08_15_10_24_40.cal</v>
      </c>
      <c r="G454">
        <v>1</v>
      </c>
      <c r="H454" t="str">
        <f>""</f>
        <v/>
      </c>
      <c r="I454" t="str">
        <f>"8/16/2019 7:57:51 AM"</f>
        <v>8/16/2019 7:57:51 AM</v>
      </c>
      <c r="J454" t="str">
        <f>"1"</f>
        <v>1</v>
      </c>
      <c r="K454" t="str">
        <f>"3"</f>
        <v>3</v>
      </c>
      <c r="L454" t="str">
        <f>"NPOC"</f>
        <v>NPOC</v>
      </c>
      <c r="M454" t="str">
        <f>"85.00"</f>
        <v>85.00</v>
      </c>
      <c r="N454" t="str">
        <f>"17.51"</f>
        <v>17.51</v>
      </c>
      <c r="O454" t="str">
        <f>"NPOC:17.21mg/L TN:2.701mg/L"</f>
        <v>NPOC:17.21mg/L TN:2.701mg/L</v>
      </c>
      <c r="P454">
        <v>0</v>
      </c>
      <c r="Q454" t="str">
        <f>"80"</f>
        <v>80</v>
      </c>
    </row>
    <row r="455" spans="1:17" x14ac:dyDescent="0.2">
      <c r="A455" t="str">
        <f>"Unknown"</f>
        <v>Unknown</v>
      </c>
      <c r="B455" t="str">
        <f>"NPOC/TN"</f>
        <v>NPOC/TN</v>
      </c>
      <c r="C455" t="str">
        <f>"1068"</f>
        <v>1068</v>
      </c>
      <c r="D455" t="str">
        <f>"42"</f>
        <v>42</v>
      </c>
      <c r="E455" t="str">
        <f>"C:\TOC3201\Methods\Itamar\acid_sample.met"</f>
        <v>C:\TOC3201\Methods\Itamar\acid_sample.met</v>
      </c>
      <c r="F455" t="str">
        <f>"C:\TOC3201\CalCurves\Itamar\N_cal_25ppm_acid_laurel.2019_08_15_12_20_41.cal"</f>
        <v>C:\TOC3201\CalCurves\Itamar\N_cal_25ppm_acid_laurel.2019_08_15_12_20_41.cal</v>
      </c>
      <c r="G455">
        <v>1</v>
      </c>
      <c r="H455" t="str">
        <f>""</f>
        <v/>
      </c>
      <c r="I455" t="str">
        <f>"8/16/2019 7:50:41 AM"</f>
        <v>8/16/2019 7:50:41 AM</v>
      </c>
      <c r="J455" t="str">
        <f>"1"</f>
        <v>1</v>
      </c>
      <c r="K455" t="str">
        <f>"1"</f>
        <v>1</v>
      </c>
      <c r="L455" t="str">
        <f>"TN"</f>
        <v>TN</v>
      </c>
      <c r="M455" t="str">
        <f>"9.639"</f>
        <v>9.639</v>
      </c>
      <c r="N455" t="str">
        <f>"2.617"</f>
        <v>2.617</v>
      </c>
      <c r="O455" t="str">
        <f>"NPOC:17.21mg/L TN:2.701mg/L"</f>
        <v>NPOC:17.21mg/L TN:2.701mg/L</v>
      </c>
      <c r="P455">
        <v>0</v>
      </c>
      <c r="Q455" t="str">
        <f>"80"</f>
        <v>80</v>
      </c>
    </row>
    <row r="456" spans="1:17" x14ac:dyDescent="0.2">
      <c r="A456" t="str">
        <f>"Unknown"</f>
        <v>Unknown</v>
      </c>
      <c r="B456" t="str">
        <f>"NPOC/TN"</f>
        <v>NPOC/TN</v>
      </c>
      <c r="C456" t="str">
        <f>"1068"</f>
        <v>1068</v>
      </c>
      <c r="D456" t="str">
        <f>"42"</f>
        <v>42</v>
      </c>
      <c r="E456" t="str">
        <f>"C:\TOC3201\Methods\Itamar\acid_sample.met"</f>
        <v>C:\TOC3201\Methods\Itamar\acid_sample.met</v>
      </c>
      <c r="F456" t="str">
        <f>"C:\TOC3201\CalCurves\Itamar\N_cal_25ppm_acid_laurel.2019_08_15_12_20_41.cal"</f>
        <v>C:\TOC3201\CalCurves\Itamar\N_cal_25ppm_acid_laurel.2019_08_15_12_20_41.cal</v>
      </c>
      <c r="G456">
        <v>1</v>
      </c>
      <c r="H456" t="str">
        <f>""</f>
        <v/>
      </c>
      <c r="I456" t="str">
        <f>"8/16/2019 7:54:16 AM"</f>
        <v>8/16/2019 7:54:16 AM</v>
      </c>
      <c r="J456" t="str">
        <f>"1"</f>
        <v>1</v>
      </c>
      <c r="K456" t="str">
        <f>"2"</f>
        <v>2</v>
      </c>
      <c r="L456" t="str">
        <f>"TN"</f>
        <v>TN</v>
      </c>
      <c r="M456" t="str">
        <f>"8.621"</f>
        <v>8.621</v>
      </c>
      <c r="N456" t="str">
        <f>"2.358"</f>
        <v>2.358</v>
      </c>
      <c r="O456" t="str">
        <f>"NPOC:17.21mg/L TN:2.701mg/L"</f>
        <v>NPOC:17.21mg/L TN:2.701mg/L</v>
      </c>
      <c r="P456">
        <v>1</v>
      </c>
      <c r="Q456" t="str">
        <f>"80"</f>
        <v>80</v>
      </c>
    </row>
    <row r="457" spans="1:17" x14ac:dyDescent="0.2">
      <c r="A457" t="str">
        <f>"Unknown"</f>
        <v>Unknown</v>
      </c>
      <c r="B457" t="str">
        <f>"NPOC/TN"</f>
        <v>NPOC/TN</v>
      </c>
      <c r="C457" t="str">
        <f>"1068"</f>
        <v>1068</v>
      </c>
      <c r="D457" t="str">
        <f>"42"</f>
        <v>42</v>
      </c>
      <c r="E457" t="str">
        <f>"C:\TOC3201\Methods\Itamar\acid_sample.met"</f>
        <v>C:\TOC3201\Methods\Itamar\acid_sample.met</v>
      </c>
      <c r="F457" t="str">
        <f>"C:\TOC3201\CalCurves\Itamar\N_cal_25ppm_acid_laurel.2019_08_15_12_20_41.cal"</f>
        <v>C:\TOC3201\CalCurves\Itamar\N_cal_25ppm_acid_laurel.2019_08_15_12_20_41.cal</v>
      </c>
      <c r="G457">
        <v>1</v>
      </c>
      <c r="H457" t="str">
        <f>""</f>
        <v/>
      </c>
      <c r="I457" t="str">
        <f>"8/16/2019 7:57:51 AM"</f>
        <v>8/16/2019 7:57:51 AM</v>
      </c>
      <c r="J457" t="str">
        <f>"1"</f>
        <v>1</v>
      </c>
      <c r="K457" t="str">
        <f>"3"</f>
        <v>3</v>
      </c>
      <c r="L457" t="str">
        <f>"TN"</f>
        <v>TN</v>
      </c>
      <c r="M457" t="str">
        <f>"10.04"</f>
        <v>10.04</v>
      </c>
      <c r="N457" t="str">
        <f>"2.719"</f>
        <v>2.719</v>
      </c>
      <c r="O457" t="str">
        <f>"NPOC:17.21mg/L TN:2.701mg/L"</f>
        <v>NPOC:17.21mg/L TN:2.701mg/L</v>
      </c>
      <c r="P457">
        <v>0</v>
      </c>
      <c r="Q457" t="str">
        <f>"80"</f>
        <v>80</v>
      </c>
    </row>
    <row r="458" spans="1:17" x14ac:dyDescent="0.2">
      <c r="A458" t="str">
        <f>"Unknown"</f>
        <v>Unknown</v>
      </c>
      <c r="B458" t="str">
        <f>"NPOC/TN"</f>
        <v>NPOC/TN</v>
      </c>
      <c r="C458" t="str">
        <f>"1068"</f>
        <v>1068</v>
      </c>
      <c r="D458" t="str">
        <f>"42"</f>
        <v>42</v>
      </c>
      <c r="E458" t="str">
        <f>"C:\TOC3201\Methods\Itamar\acid_sample.met"</f>
        <v>C:\TOC3201\Methods\Itamar\acid_sample.met</v>
      </c>
      <c r="F458" t="str">
        <f>"C:\TOC3201\CalCurves\Itamar\N_cal_25ppm_acid_laurel.2019_08_15_12_20_41.cal"</f>
        <v>C:\TOC3201\CalCurves\Itamar\N_cal_25ppm_acid_laurel.2019_08_15_12_20_41.cal</v>
      </c>
      <c r="G458">
        <v>1</v>
      </c>
      <c r="H458" t="str">
        <f>""</f>
        <v/>
      </c>
      <c r="I458" t="str">
        <f>"8/16/2019 8:01:03 AM"</f>
        <v>8/16/2019 8:01:03 AM</v>
      </c>
      <c r="J458" t="str">
        <f>"1"</f>
        <v>1</v>
      </c>
      <c r="K458" t="str">
        <f>"4"</f>
        <v>4</v>
      </c>
      <c r="L458" t="str">
        <f>"TN"</f>
        <v>TN</v>
      </c>
      <c r="M458" t="str">
        <f>"10.23"</f>
        <v>10.23</v>
      </c>
      <c r="N458" t="str">
        <f>"2.767"</f>
        <v>2.767</v>
      </c>
      <c r="O458" t="str">
        <f>"NPOC:17.21mg/L TN:2.701mg/L"</f>
        <v>NPOC:17.21mg/L TN:2.701mg/L</v>
      </c>
      <c r="P458">
        <v>0</v>
      </c>
      <c r="Q458" t="str">
        <f>"80"</f>
        <v>80</v>
      </c>
    </row>
    <row r="459" spans="1:17" x14ac:dyDescent="0.2">
      <c r="A459" t="str">
        <f>"Unknown"</f>
        <v>Unknown</v>
      </c>
      <c r="B459" t="str">
        <f>"NPOC/TN"</f>
        <v>NPOC/TN</v>
      </c>
      <c r="C459" t="str">
        <f>"1068"</f>
        <v>1068</v>
      </c>
      <c r="D459" t="str">
        <f>"42"</f>
        <v>42</v>
      </c>
      <c r="E459" t="str">
        <f>"C:\TOC3201\Methods\Itamar\acid_sample.met"</f>
        <v>C:\TOC3201\Methods\Itamar\acid_sample.met</v>
      </c>
      <c r="F459" t="str">
        <f>"C:\TOC3201\CalCurves\Itamar\N_cal_25ppm_acid_laurel.2019_08_15_12_20_41.cal"</f>
        <v>C:\TOC3201\CalCurves\Itamar\N_cal_25ppm_acid_laurel.2019_08_15_12_20_41.cal</v>
      </c>
      <c r="G459">
        <v>1</v>
      </c>
      <c r="H459" t="str">
        <f>""</f>
        <v/>
      </c>
      <c r="I459" t="str">
        <f>"8/16/2019 8:04:24 AM"</f>
        <v>8/16/2019 8:04:24 AM</v>
      </c>
      <c r="J459" t="str">
        <f>"1"</f>
        <v>1</v>
      </c>
      <c r="K459" t="str">
        <f>"5"</f>
        <v>5</v>
      </c>
      <c r="L459" t="str">
        <f>"TN"</f>
        <v>TN</v>
      </c>
      <c r="M459" t="str">
        <f>"9.440"</f>
        <v>9.440</v>
      </c>
      <c r="N459" t="str">
        <f>"2.566"</f>
        <v>2.566</v>
      </c>
      <c r="O459" t="str">
        <f>"NPOC:17.21mg/L TN:2.701mg/L"</f>
        <v>NPOC:17.21mg/L TN:2.701mg/L</v>
      </c>
      <c r="P459">
        <v>1</v>
      </c>
      <c r="Q459" t="str">
        <f>"80"</f>
        <v>80</v>
      </c>
    </row>
    <row r="460" spans="1:17" x14ac:dyDescent="0.2">
      <c r="A460" t="str">
        <f>"Unknown"</f>
        <v>Unknown</v>
      </c>
      <c r="B460" t="str">
        <f>"NPOC/TN"</f>
        <v>NPOC/TN</v>
      </c>
      <c r="C460" t="str">
        <f>"1070"</f>
        <v>1070</v>
      </c>
      <c r="D460" t="str">
        <f>"43"</f>
        <v>43</v>
      </c>
      <c r="E460" t="str">
        <f>"C:\TOC3201\Methods\Itamar\acid_sample.met"</f>
        <v>C:\TOC3201\Methods\Itamar\acid_sample.met</v>
      </c>
      <c r="F460" t="str">
        <f>"C:\TOC3201\CalCurves\Itamar\C_cal_100ppm_acid_laurel.2019_08_15_10_24_40.cal"</f>
        <v>C:\TOC3201\CalCurves\Itamar\C_cal_100ppm_acid_laurel.2019_08_15_10_24_40.cal</v>
      </c>
      <c r="G460">
        <v>1</v>
      </c>
      <c r="H460" t="str">
        <f>""</f>
        <v/>
      </c>
      <c r="I460" t="str">
        <f>"8/16/2019 8:14:52 AM"</f>
        <v>8/16/2019 8:14:52 AM</v>
      </c>
      <c r="J460" t="str">
        <f>"1"</f>
        <v>1</v>
      </c>
      <c r="K460" t="str">
        <f>"1"</f>
        <v>1</v>
      </c>
      <c r="L460" t="str">
        <f>"NPOC"</f>
        <v>NPOC</v>
      </c>
      <c r="M460" t="str">
        <f>"221.0"</f>
        <v>221.0</v>
      </c>
      <c r="N460" t="str">
        <f>"45.44"</f>
        <v>45.44</v>
      </c>
      <c r="O460" t="str">
        <f>"NPOC:44.93mg/L TN:5.275mg/L"</f>
        <v>NPOC:44.93mg/L TN:5.275mg/L</v>
      </c>
      <c r="P460">
        <v>0</v>
      </c>
      <c r="Q460" t="str">
        <f>"80"</f>
        <v>80</v>
      </c>
    </row>
    <row r="461" spans="1:17" x14ac:dyDescent="0.2">
      <c r="A461" t="str">
        <f>"Unknown"</f>
        <v>Unknown</v>
      </c>
      <c r="B461" t="str">
        <f>"NPOC/TN"</f>
        <v>NPOC/TN</v>
      </c>
      <c r="C461" t="str">
        <f>"1070"</f>
        <v>1070</v>
      </c>
      <c r="D461" t="str">
        <f>"43"</f>
        <v>43</v>
      </c>
      <c r="E461" t="str">
        <f>"C:\TOC3201\Methods\Itamar\acid_sample.met"</f>
        <v>C:\TOC3201\Methods\Itamar\acid_sample.met</v>
      </c>
      <c r="F461" t="str">
        <f>"C:\TOC3201\CalCurves\Itamar\C_cal_100ppm_acid_laurel.2019_08_15_10_24_40.cal"</f>
        <v>C:\TOC3201\CalCurves\Itamar\C_cal_100ppm_acid_laurel.2019_08_15_10_24_40.cal</v>
      </c>
      <c r="G461">
        <v>1</v>
      </c>
      <c r="H461" t="str">
        <f>""</f>
        <v/>
      </c>
      <c r="I461" t="str">
        <f>"8/16/2019 8:18:53 AM"</f>
        <v>8/16/2019 8:18:53 AM</v>
      </c>
      <c r="J461" t="str">
        <f>"1"</f>
        <v>1</v>
      </c>
      <c r="K461" t="str">
        <f>"2"</f>
        <v>2</v>
      </c>
      <c r="L461" t="str">
        <f>"NPOC"</f>
        <v>NPOC</v>
      </c>
      <c r="M461" t="str">
        <f>"217.6"</f>
        <v>217.6</v>
      </c>
      <c r="N461" t="str">
        <f>"44.74"</f>
        <v>44.74</v>
      </c>
      <c r="O461" t="str">
        <f>"NPOC:44.93mg/L TN:5.275mg/L"</f>
        <v>NPOC:44.93mg/L TN:5.275mg/L</v>
      </c>
      <c r="P461">
        <v>0</v>
      </c>
      <c r="Q461" t="str">
        <f>"80"</f>
        <v>80</v>
      </c>
    </row>
    <row r="462" spans="1:17" x14ac:dyDescent="0.2">
      <c r="A462" t="str">
        <f>"Unknown"</f>
        <v>Unknown</v>
      </c>
      <c r="B462" t="str">
        <f>"NPOC/TN"</f>
        <v>NPOC/TN</v>
      </c>
      <c r="C462" t="str">
        <f>"1070"</f>
        <v>1070</v>
      </c>
      <c r="D462" t="str">
        <f>"43"</f>
        <v>43</v>
      </c>
      <c r="E462" t="str">
        <f>"C:\TOC3201\Methods\Itamar\acid_sample.met"</f>
        <v>C:\TOC3201\Methods\Itamar\acid_sample.met</v>
      </c>
      <c r="F462" t="str">
        <f>"C:\TOC3201\CalCurves\Itamar\C_cal_100ppm_acid_laurel.2019_08_15_10_24_40.cal"</f>
        <v>C:\TOC3201\CalCurves\Itamar\C_cal_100ppm_acid_laurel.2019_08_15_10_24_40.cal</v>
      </c>
      <c r="G462">
        <v>1</v>
      </c>
      <c r="H462" t="str">
        <f>""</f>
        <v/>
      </c>
      <c r="I462" t="str">
        <f>"8/16/2019 8:23:00 AM"</f>
        <v>8/16/2019 8:23:00 AM</v>
      </c>
      <c r="J462" t="str">
        <f>"1"</f>
        <v>1</v>
      </c>
      <c r="K462" t="str">
        <f>"3"</f>
        <v>3</v>
      </c>
      <c r="L462" t="str">
        <f>"NPOC"</f>
        <v>NPOC</v>
      </c>
      <c r="M462" t="str">
        <f>"233.1"</f>
        <v>233.1</v>
      </c>
      <c r="N462" t="str">
        <f>"47.93"</f>
        <v>47.93</v>
      </c>
      <c r="O462" t="str">
        <f>"NPOC:44.93mg/L TN:5.275mg/L"</f>
        <v>NPOC:44.93mg/L TN:5.275mg/L</v>
      </c>
      <c r="P462">
        <v>1</v>
      </c>
      <c r="Q462" t="str">
        <f>"80"</f>
        <v>80</v>
      </c>
    </row>
    <row r="463" spans="1:17" x14ac:dyDescent="0.2">
      <c r="A463" t="str">
        <f>"Unknown"</f>
        <v>Unknown</v>
      </c>
      <c r="B463" t="str">
        <f>"NPOC/TN"</f>
        <v>NPOC/TN</v>
      </c>
      <c r="C463" t="str">
        <f>"1070"</f>
        <v>1070</v>
      </c>
      <c r="D463" t="str">
        <f>"43"</f>
        <v>43</v>
      </c>
      <c r="E463" t="str">
        <f>"C:\TOC3201\Methods\Itamar\acid_sample.met"</f>
        <v>C:\TOC3201\Methods\Itamar\acid_sample.met</v>
      </c>
      <c r="F463" t="str">
        <f>"C:\TOC3201\CalCurves\Itamar\C_cal_100ppm_acid_laurel.2019_08_15_10_24_40.cal"</f>
        <v>C:\TOC3201\CalCurves\Itamar\C_cal_100ppm_acid_laurel.2019_08_15_10_24_40.cal</v>
      </c>
      <c r="G463">
        <v>1</v>
      </c>
      <c r="H463" t="str">
        <f>""</f>
        <v/>
      </c>
      <c r="I463" t="str">
        <f>"8/16/2019 8:27:02 AM"</f>
        <v>8/16/2019 8:27:02 AM</v>
      </c>
      <c r="J463" t="str">
        <f>"1"</f>
        <v>1</v>
      </c>
      <c r="K463" t="str">
        <f>"4"</f>
        <v>4</v>
      </c>
      <c r="L463" t="str">
        <f>"NPOC"</f>
        <v>NPOC</v>
      </c>
      <c r="M463" t="str">
        <f>"229.0"</f>
        <v>229.0</v>
      </c>
      <c r="N463" t="str">
        <f>"47.09"</f>
        <v>47.09</v>
      </c>
      <c r="O463" t="str">
        <f>"NPOC:44.93mg/L TN:5.275mg/L"</f>
        <v>NPOC:44.93mg/L TN:5.275mg/L</v>
      </c>
      <c r="P463">
        <v>1</v>
      </c>
      <c r="Q463" t="str">
        <f>"80"</f>
        <v>80</v>
      </c>
    </row>
    <row r="464" spans="1:17" x14ac:dyDescent="0.2">
      <c r="A464" t="str">
        <f>"Unknown"</f>
        <v>Unknown</v>
      </c>
      <c r="B464" t="str">
        <f>"NPOC/TN"</f>
        <v>NPOC/TN</v>
      </c>
      <c r="C464" t="str">
        <f>"1070"</f>
        <v>1070</v>
      </c>
      <c r="D464" t="str">
        <f>"43"</f>
        <v>43</v>
      </c>
      <c r="E464" t="str">
        <f>"C:\TOC3201\Methods\Itamar\acid_sample.met"</f>
        <v>C:\TOC3201\Methods\Itamar\acid_sample.met</v>
      </c>
      <c r="F464" t="str">
        <f>"C:\TOC3201\CalCurves\Itamar\C_cal_100ppm_acid_laurel.2019_08_15_10_24_40.cal"</f>
        <v>C:\TOC3201\CalCurves\Itamar\C_cal_100ppm_acid_laurel.2019_08_15_10_24_40.cal</v>
      </c>
      <c r="G464">
        <v>1</v>
      </c>
      <c r="H464" t="str">
        <f>""</f>
        <v/>
      </c>
      <c r="I464" t="str">
        <f>"8/16/2019 8:30:58 AM"</f>
        <v>8/16/2019 8:30:58 AM</v>
      </c>
      <c r="J464" t="str">
        <f>"1"</f>
        <v>1</v>
      </c>
      <c r="K464" t="str">
        <f>"5"</f>
        <v>5</v>
      </c>
      <c r="L464" t="str">
        <f>"NPOC"</f>
        <v>NPOC</v>
      </c>
      <c r="M464" t="str">
        <f>"216.9"</f>
        <v>216.9</v>
      </c>
      <c r="N464" t="str">
        <f>"44.60"</f>
        <v>44.60</v>
      </c>
      <c r="O464" t="str">
        <f>"NPOC:44.93mg/L TN:5.275mg/L"</f>
        <v>NPOC:44.93mg/L TN:5.275mg/L</v>
      </c>
      <c r="P464">
        <v>0</v>
      </c>
      <c r="Q464" t="str">
        <f>"80"</f>
        <v>80</v>
      </c>
    </row>
    <row r="465" spans="1:17" x14ac:dyDescent="0.2">
      <c r="A465" t="str">
        <f>"Unknown"</f>
        <v>Unknown</v>
      </c>
      <c r="B465" t="str">
        <f>"NPOC/TN"</f>
        <v>NPOC/TN</v>
      </c>
      <c r="C465" t="str">
        <f>"1070"</f>
        <v>1070</v>
      </c>
      <c r="D465" t="str">
        <f>"43"</f>
        <v>43</v>
      </c>
      <c r="E465" t="str">
        <f>"C:\TOC3201\Methods\Itamar\acid_sample.met"</f>
        <v>C:\TOC3201\Methods\Itamar\acid_sample.met</v>
      </c>
      <c r="F465" t="str">
        <f>"C:\TOC3201\CalCurves\Itamar\N_cal_25ppm_acid_laurel.2019_08_15_12_20_41.cal"</f>
        <v>C:\TOC3201\CalCurves\Itamar\N_cal_25ppm_acid_laurel.2019_08_15_12_20_41.cal</v>
      </c>
      <c r="G465">
        <v>1</v>
      </c>
      <c r="H465" t="str">
        <f>""</f>
        <v/>
      </c>
      <c r="I465" t="str">
        <f>"8/16/2019 8:14:52 AM"</f>
        <v>8/16/2019 8:14:52 AM</v>
      </c>
      <c r="J465" t="str">
        <f>"1"</f>
        <v>1</v>
      </c>
      <c r="K465" t="str">
        <f>"1"</f>
        <v>1</v>
      </c>
      <c r="L465" t="str">
        <f>"TN"</f>
        <v>TN</v>
      </c>
      <c r="M465" t="str">
        <f>"19.97"</f>
        <v>19.97</v>
      </c>
      <c r="N465" t="str">
        <f>"5.249"</f>
        <v>5.249</v>
      </c>
      <c r="O465" t="str">
        <f>"NPOC:44.93mg/L TN:5.275mg/L"</f>
        <v>NPOC:44.93mg/L TN:5.275mg/L</v>
      </c>
      <c r="P465">
        <v>0</v>
      </c>
      <c r="Q465" t="str">
        <f>"80"</f>
        <v>80</v>
      </c>
    </row>
    <row r="466" spans="1:17" x14ac:dyDescent="0.2">
      <c r="A466" t="str">
        <f>"Unknown"</f>
        <v>Unknown</v>
      </c>
      <c r="B466" t="str">
        <f>"NPOC/TN"</f>
        <v>NPOC/TN</v>
      </c>
      <c r="C466" t="str">
        <f>"1070"</f>
        <v>1070</v>
      </c>
      <c r="D466" t="str">
        <f>"43"</f>
        <v>43</v>
      </c>
      <c r="E466" t="str">
        <f>"C:\TOC3201\Methods\Itamar\acid_sample.met"</f>
        <v>C:\TOC3201\Methods\Itamar\acid_sample.met</v>
      </c>
      <c r="F466" t="str">
        <f>"C:\TOC3201\CalCurves\Itamar\N_cal_25ppm_acid_laurel.2019_08_15_12_20_41.cal"</f>
        <v>C:\TOC3201\CalCurves\Itamar\N_cal_25ppm_acid_laurel.2019_08_15_12_20_41.cal</v>
      </c>
      <c r="G466">
        <v>1</v>
      </c>
      <c r="H466" t="str">
        <f>""</f>
        <v/>
      </c>
      <c r="I466" t="str">
        <f>"8/16/2019 8:18:53 AM"</f>
        <v>8/16/2019 8:18:53 AM</v>
      </c>
      <c r="J466" t="str">
        <f>"1"</f>
        <v>1</v>
      </c>
      <c r="K466" t="str">
        <f>"2"</f>
        <v>2</v>
      </c>
      <c r="L466" t="str">
        <f>"TN"</f>
        <v>TN</v>
      </c>
      <c r="M466" t="str">
        <f>"19.84"</f>
        <v>19.84</v>
      </c>
      <c r="N466" t="str">
        <f>"5.216"</f>
        <v>5.216</v>
      </c>
      <c r="O466" t="str">
        <f>"NPOC:44.93mg/L TN:5.275mg/L"</f>
        <v>NPOC:44.93mg/L TN:5.275mg/L</v>
      </c>
      <c r="P466">
        <v>0</v>
      </c>
      <c r="Q466" t="str">
        <f>"80"</f>
        <v>80</v>
      </c>
    </row>
    <row r="467" spans="1:17" x14ac:dyDescent="0.2">
      <c r="A467" t="str">
        <f>"Unknown"</f>
        <v>Unknown</v>
      </c>
      <c r="B467" t="str">
        <f>"NPOC/TN"</f>
        <v>NPOC/TN</v>
      </c>
      <c r="C467" t="str">
        <f>"1070"</f>
        <v>1070</v>
      </c>
      <c r="D467" t="str">
        <f>"43"</f>
        <v>43</v>
      </c>
      <c r="E467" t="str">
        <f>"C:\TOC3201\Methods\Itamar\acid_sample.met"</f>
        <v>C:\TOC3201\Methods\Itamar\acid_sample.met</v>
      </c>
      <c r="F467" t="str">
        <f>"C:\TOC3201\CalCurves\Itamar\N_cal_25ppm_acid_laurel.2019_08_15_12_20_41.cal"</f>
        <v>C:\TOC3201\CalCurves\Itamar\N_cal_25ppm_acid_laurel.2019_08_15_12_20_41.cal</v>
      </c>
      <c r="G467">
        <v>1</v>
      </c>
      <c r="H467" t="str">
        <f>""</f>
        <v/>
      </c>
      <c r="I467" t="str">
        <f>"8/16/2019 8:23:00 AM"</f>
        <v>8/16/2019 8:23:00 AM</v>
      </c>
      <c r="J467" t="str">
        <f>"1"</f>
        <v>1</v>
      </c>
      <c r="K467" t="str">
        <f>"3"</f>
        <v>3</v>
      </c>
      <c r="L467" t="str">
        <f>"TN"</f>
        <v>TN</v>
      </c>
      <c r="M467" t="str">
        <f>"21.37"</f>
        <v>21.37</v>
      </c>
      <c r="N467" t="str">
        <f>"5.606"</f>
        <v>5.606</v>
      </c>
      <c r="O467" t="str">
        <f>"NPOC:44.93mg/L TN:5.275mg/L"</f>
        <v>NPOC:44.93mg/L TN:5.275mg/L</v>
      </c>
      <c r="P467">
        <v>1</v>
      </c>
      <c r="Q467" t="str">
        <f>"80"</f>
        <v>80</v>
      </c>
    </row>
    <row r="468" spans="1:17" x14ac:dyDescent="0.2">
      <c r="A468" t="str">
        <f>"Unknown"</f>
        <v>Unknown</v>
      </c>
      <c r="B468" t="str">
        <f>"NPOC/TN"</f>
        <v>NPOC/TN</v>
      </c>
      <c r="C468" t="str">
        <f>"1070"</f>
        <v>1070</v>
      </c>
      <c r="D468" t="str">
        <f>"43"</f>
        <v>43</v>
      </c>
      <c r="E468" t="str">
        <f>"C:\TOC3201\Methods\Itamar\acid_sample.met"</f>
        <v>C:\TOC3201\Methods\Itamar\acid_sample.met</v>
      </c>
      <c r="F468" t="str">
        <f>"C:\TOC3201\CalCurves\Itamar\N_cal_25ppm_acid_laurel.2019_08_15_12_20_41.cal"</f>
        <v>C:\TOC3201\CalCurves\Itamar\N_cal_25ppm_acid_laurel.2019_08_15_12_20_41.cal</v>
      </c>
      <c r="G468">
        <v>1</v>
      </c>
      <c r="H468" t="str">
        <f>""</f>
        <v/>
      </c>
      <c r="I468" t="str">
        <f>"8/16/2019 8:27:02 AM"</f>
        <v>8/16/2019 8:27:02 AM</v>
      </c>
      <c r="J468" t="str">
        <f>"1"</f>
        <v>1</v>
      </c>
      <c r="K468" t="str">
        <f>"4"</f>
        <v>4</v>
      </c>
      <c r="L468" t="str">
        <f>"TN"</f>
        <v>TN</v>
      </c>
      <c r="M468" t="str">
        <f>"21.39"</f>
        <v>21.39</v>
      </c>
      <c r="N468" t="str">
        <f>"5.611"</f>
        <v>5.611</v>
      </c>
      <c r="O468" t="str">
        <f>"NPOC:44.93mg/L TN:5.275mg/L"</f>
        <v>NPOC:44.93mg/L TN:5.275mg/L</v>
      </c>
      <c r="P468">
        <v>1</v>
      </c>
      <c r="Q468" t="str">
        <f>"80"</f>
        <v>80</v>
      </c>
    </row>
    <row r="469" spans="1:17" x14ac:dyDescent="0.2">
      <c r="A469" t="str">
        <f>"Unknown"</f>
        <v>Unknown</v>
      </c>
      <c r="B469" t="str">
        <f>"NPOC/TN"</f>
        <v>NPOC/TN</v>
      </c>
      <c r="C469" t="str">
        <f>"1070"</f>
        <v>1070</v>
      </c>
      <c r="D469" t="str">
        <f>"43"</f>
        <v>43</v>
      </c>
      <c r="E469" t="str">
        <f>"C:\TOC3201\Methods\Itamar\acid_sample.met"</f>
        <v>C:\TOC3201\Methods\Itamar\acid_sample.met</v>
      </c>
      <c r="F469" t="str">
        <f>"C:\TOC3201\CalCurves\Itamar\N_cal_25ppm_acid_laurel.2019_08_15_12_20_41.cal"</f>
        <v>C:\TOC3201\CalCurves\Itamar\N_cal_25ppm_acid_laurel.2019_08_15_12_20_41.cal</v>
      </c>
      <c r="G469">
        <v>1</v>
      </c>
      <c r="H469" t="str">
        <f>""</f>
        <v/>
      </c>
      <c r="I469" t="str">
        <f>"8/16/2019 8:30:58 AM"</f>
        <v>8/16/2019 8:30:58 AM</v>
      </c>
      <c r="J469" t="str">
        <f>"1"</f>
        <v>1</v>
      </c>
      <c r="K469" t="str">
        <f>"5"</f>
        <v>5</v>
      </c>
      <c r="L469" t="str">
        <f>"TN"</f>
        <v>TN</v>
      </c>
      <c r="M469" t="str">
        <f>"20.40"</f>
        <v>20.40</v>
      </c>
      <c r="N469" t="str">
        <f>"5.359"</f>
        <v>5.359</v>
      </c>
      <c r="O469" t="str">
        <f>"NPOC:44.93mg/L TN:5.275mg/L"</f>
        <v>NPOC:44.93mg/L TN:5.275mg/L</v>
      </c>
      <c r="P469">
        <v>0</v>
      </c>
      <c r="Q469" t="str">
        <f>"80"</f>
        <v>80</v>
      </c>
    </row>
    <row r="470" spans="1:17" x14ac:dyDescent="0.2">
      <c r="A470" t="str">
        <f>"Unknown"</f>
        <v>Unknown</v>
      </c>
      <c r="B470" t="str">
        <f>"NPOC/TN"</f>
        <v>NPOC/TN</v>
      </c>
      <c r="C470" t="str">
        <f>"1072"</f>
        <v>1072</v>
      </c>
      <c r="D470" t="str">
        <f>"44"</f>
        <v>44</v>
      </c>
      <c r="E470" t="str">
        <f>"C:\TOC3201\Methods\Itamar\acid_sample.met"</f>
        <v>C:\TOC3201\Methods\Itamar\acid_sample.met</v>
      </c>
      <c r="F470" t="str">
        <f>"C:\TOC3201\CalCurves\Itamar\C_cal_100ppm_acid_laurel.2019_08_15_10_24_40.cal"</f>
        <v>C:\TOC3201\CalCurves\Itamar\C_cal_100ppm_acid_laurel.2019_08_15_10_24_40.cal</v>
      </c>
      <c r="G470">
        <v>1</v>
      </c>
      <c r="H470" t="str">
        <f>""</f>
        <v/>
      </c>
      <c r="I470" t="str">
        <f>"8/16/2019 8:41:28 AM"</f>
        <v>8/16/2019 8:41:28 AM</v>
      </c>
      <c r="J470" t="str">
        <f>"1"</f>
        <v>1</v>
      </c>
      <c r="K470" t="str">
        <f>"1"</f>
        <v>1</v>
      </c>
      <c r="L470" t="str">
        <f>"NPOC"</f>
        <v>NPOC</v>
      </c>
      <c r="M470" t="str">
        <f>"233.9"</f>
        <v>233.9</v>
      </c>
      <c r="N470" t="str">
        <f>"48.09"</f>
        <v>48.09</v>
      </c>
      <c r="O470" t="str">
        <f>"NPOC:48.91mg/L TN:5.614mg/L"</f>
        <v>NPOC:48.91mg/L TN:5.614mg/L</v>
      </c>
      <c r="P470">
        <v>0</v>
      </c>
      <c r="Q470" t="str">
        <f>"80"</f>
        <v>80</v>
      </c>
    </row>
    <row r="471" spans="1:17" x14ac:dyDescent="0.2">
      <c r="A471" t="str">
        <f>"Unknown"</f>
        <v>Unknown</v>
      </c>
      <c r="B471" t="str">
        <f>"NPOC/TN"</f>
        <v>NPOC/TN</v>
      </c>
      <c r="C471" t="str">
        <f>"1072"</f>
        <v>1072</v>
      </c>
      <c r="D471" t="str">
        <f>"44"</f>
        <v>44</v>
      </c>
      <c r="E471" t="str">
        <f>"C:\TOC3201\Methods\Itamar\acid_sample.met"</f>
        <v>C:\TOC3201\Methods\Itamar\acid_sample.met</v>
      </c>
      <c r="F471" t="str">
        <f>"C:\TOC3201\CalCurves\Itamar\C_cal_100ppm_acid_laurel.2019_08_15_10_24_40.cal"</f>
        <v>C:\TOC3201\CalCurves\Itamar\C_cal_100ppm_acid_laurel.2019_08_15_10_24_40.cal</v>
      </c>
      <c r="G471">
        <v>1</v>
      </c>
      <c r="H471" t="str">
        <f>""</f>
        <v/>
      </c>
      <c r="I471" t="str">
        <f>"8/16/2019 8:45:23 AM"</f>
        <v>8/16/2019 8:45:23 AM</v>
      </c>
      <c r="J471" t="str">
        <f>"1"</f>
        <v>1</v>
      </c>
      <c r="K471" t="str">
        <f>"2"</f>
        <v>2</v>
      </c>
      <c r="L471" t="str">
        <f>"NPOC"</f>
        <v>NPOC</v>
      </c>
      <c r="M471" t="str">
        <f>"230.4"</f>
        <v>230.4</v>
      </c>
      <c r="N471" t="str">
        <f>"47.37"</f>
        <v>47.37</v>
      </c>
      <c r="O471" t="str">
        <f>"NPOC:48.91mg/L TN:5.614mg/L"</f>
        <v>NPOC:48.91mg/L TN:5.614mg/L</v>
      </c>
      <c r="P471">
        <v>1</v>
      </c>
      <c r="Q471" t="str">
        <f>"80"</f>
        <v>80</v>
      </c>
    </row>
    <row r="472" spans="1:17" x14ac:dyDescent="0.2">
      <c r="A472" t="str">
        <f>"Unknown"</f>
        <v>Unknown</v>
      </c>
      <c r="B472" t="str">
        <f>"NPOC/TN"</f>
        <v>NPOC/TN</v>
      </c>
      <c r="C472" t="str">
        <f>"1072"</f>
        <v>1072</v>
      </c>
      <c r="D472" t="str">
        <f>"44"</f>
        <v>44</v>
      </c>
      <c r="E472" t="str">
        <f>"C:\TOC3201\Methods\Itamar\acid_sample.met"</f>
        <v>C:\TOC3201\Methods\Itamar\acid_sample.met</v>
      </c>
      <c r="F472" t="str">
        <f>"C:\TOC3201\CalCurves\Itamar\C_cal_100ppm_acid_laurel.2019_08_15_10_24_40.cal"</f>
        <v>C:\TOC3201\CalCurves\Itamar\C_cal_100ppm_acid_laurel.2019_08_15_10_24_40.cal</v>
      </c>
      <c r="G472">
        <v>1</v>
      </c>
      <c r="H472" t="str">
        <f>""</f>
        <v/>
      </c>
      <c r="I472" t="str">
        <f>"8/16/2019 8:49:23 AM"</f>
        <v>8/16/2019 8:49:23 AM</v>
      </c>
      <c r="J472" t="str">
        <f>"1"</f>
        <v>1</v>
      </c>
      <c r="K472" t="str">
        <f>"3"</f>
        <v>3</v>
      </c>
      <c r="L472" t="str">
        <f>"NPOC"</f>
        <v>NPOC</v>
      </c>
      <c r="M472" t="str">
        <f>"241.4"</f>
        <v>241.4</v>
      </c>
      <c r="N472" t="str">
        <f>"49.63"</f>
        <v>49.63</v>
      </c>
      <c r="O472" t="str">
        <f>"NPOC:48.91mg/L TN:5.614mg/L"</f>
        <v>NPOC:48.91mg/L TN:5.614mg/L</v>
      </c>
      <c r="P472">
        <v>0</v>
      </c>
      <c r="Q472" t="str">
        <f>"80"</f>
        <v>80</v>
      </c>
    </row>
    <row r="473" spans="1:17" x14ac:dyDescent="0.2">
      <c r="A473" t="str">
        <f>"Unknown"</f>
        <v>Unknown</v>
      </c>
      <c r="B473" t="str">
        <f>"NPOC/TN"</f>
        <v>NPOC/TN</v>
      </c>
      <c r="C473" t="str">
        <f>"1072"</f>
        <v>1072</v>
      </c>
      <c r="D473" t="str">
        <f>"44"</f>
        <v>44</v>
      </c>
      <c r="E473" t="str">
        <f>"C:\TOC3201\Methods\Itamar\acid_sample.met"</f>
        <v>C:\TOC3201\Methods\Itamar\acid_sample.met</v>
      </c>
      <c r="F473" t="str">
        <f>"C:\TOC3201\CalCurves\Itamar\C_cal_100ppm_acid_laurel.2019_08_15_10_24_40.cal"</f>
        <v>C:\TOC3201\CalCurves\Itamar\C_cal_100ppm_acid_laurel.2019_08_15_10_24_40.cal</v>
      </c>
      <c r="G473">
        <v>1</v>
      </c>
      <c r="H473" t="str">
        <f>""</f>
        <v/>
      </c>
      <c r="I473" t="str">
        <f>"8/16/2019 8:53:21 AM"</f>
        <v>8/16/2019 8:53:21 AM</v>
      </c>
      <c r="J473" t="str">
        <f>"1"</f>
        <v>1</v>
      </c>
      <c r="K473" t="str">
        <f>"4"</f>
        <v>4</v>
      </c>
      <c r="L473" t="str">
        <f>"NPOC"</f>
        <v>NPOC</v>
      </c>
      <c r="M473" t="str">
        <f>"238.3"</f>
        <v>238.3</v>
      </c>
      <c r="N473" t="str">
        <f>"49.00"</f>
        <v>49.00</v>
      </c>
      <c r="O473" t="str">
        <f>"NPOC:48.91mg/L TN:5.614mg/L"</f>
        <v>NPOC:48.91mg/L TN:5.614mg/L</v>
      </c>
      <c r="P473">
        <v>0</v>
      </c>
      <c r="Q473" t="str">
        <f>"80"</f>
        <v>80</v>
      </c>
    </row>
    <row r="474" spans="1:17" x14ac:dyDescent="0.2">
      <c r="A474" t="str">
        <f>"Unknown"</f>
        <v>Unknown</v>
      </c>
      <c r="B474" t="str">
        <f>"NPOC/TN"</f>
        <v>NPOC/TN</v>
      </c>
      <c r="C474" t="str">
        <f>"1072"</f>
        <v>1072</v>
      </c>
      <c r="D474" t="str">
        <f>"44"</f>
        <v>44</v>
      </c>
      <c r="E474" t="str">
        <f>"C:\TOC3201\Methods\Itamar\acid_sample.met"</f>
        <v>C:\TOC3201\Methods\Itamar\acid_sample.met</v>
      </c>
      <c r="F474" t="str">
        <f>"C:\TOC3201\CalCurves\Itamar\N_cal_25ppm_acid_laurel.2019_08_15_12_20_41.cal"</f>
        <v>C:\TOC3201\CalCurves\Itamar\N_cal_25ppm_acid_laurel.2019_08_15_12_20_41.cal</v>
      </c>
      <c r="G474">
        <v>1</v>
      </c>
      <c r="H474" t="str">
        <f>""</f>
        <v/>
      </c>
      <c r="I474" t="str">
        <f>"8/16/2019 8:41:28 AM"</f>
        <v>8/16/2019 8:41:28 AM</v>
      </c>
      <c r="J474" t="str">
        <f>"1"</f>
        <v>1</v>
      </c>
      <c r="K474" t="str">
        <f>"1"</f>
        <v>1</v>
      </c>
      <c r="L474" t="str">
        <f>"TN"</f>
        <v>TN</v>
      </c>
      <c r="M474" t="str">
        <f>"22.18"</f>
        <v>22.18</v>
      </c>
      <c r="N474" t="str">
        <f>"5.812"</f>
        <v>5.812</v>
      </c>
      <c r="O474" t="str">
        <f>"NPOC:48.91mg/L TN:5.614mg/L"</f>
        <v>NPOC:48.91mg/L TN:5.614mg/L</v>
      </c>
      <c r="P474">
        <v>1</v>
      </c>
      <c r="Q474" t="str">
        <f>"80"</f>
        <v>80</v>
      </c>
    </row>
    <row r="475" spans="1:17" x14ac:dyDescent="0.2">
      <c r="A475" t="str">
        <f>"Unknown"</f>
        <v>Unknown</v>
      </c>
      <c r="B475" t="str">
        <f>"NPOC/TN"</f>
        <v>NPOC/TN</v>
      </c>
      <c r="C475" t="str">
        <f>"1072"</f>
        <v>1072</v>
      </c>
      <c r="D475" t="str">
        <f>"44"</f>
        <v>44</v>
      </c>
      <c r="E475" t="str">
        <f>"C:\TOC3201\Methods\Itamar\acid_sample.met"</f>
        <v>C:\TOC3201\Methods\Itamar\acid_sample.met</v>
      </c>
      <c r="F475" t="str">
        <f>"C:\TOC3201\CalCurves\Itamar\N_cal_25ppm_acid_laurel.2019_08_15_12_20_41.cal"</f>
        <v>C:\TOC3201\CalCurves\Itamar\N_cal_25ppm_acid_laurel.2019_08_15_12_20_41.cal</v>
      </c>
      <c r="G475">
        <v>1</v>
      </c>
      <c r="H475" t="str">
        <f>""</f>
        <v/>
      </c>
      <c r="I475" t="str">
        <f>"8/16/2019 8:45:23 AM"</f>
        <v>8/16/2019 8:45:23 AM</v>
      </c>
      <c r="J475" t="str">
        <f>"1"</f>
        <v>1</v>
      </c>
      <c r="K475" t="str">
        <f>"2"</f>
        <v>2</v>
      </c>
      <c r="L475" t="str">
        <f>"TN"</f>
        <v>TN</v>
      </c>
      <c r="M475" t="str">
        <f>"21.10"</f>
        <v>21.10</v>
      </c>
      <c r="N475" t="str">
        <f>"5.537"</f>
        <v>5.537</v>
      </c>
      <c r="O475" t="str">
        <f>"NPOC:48.91mg/L TN:5.614mg/L"</f>
        <v>NPOC:48.91mg/L TN:5.614mg/L</v>
      </c>
      <c r="P475">
        <v>0</v>
      </c>
      <c r="Q475" t="str">
        <f>"80"</f>
        <v>80</v>
      </c>
    </row>
    <row r="476" spans="1:17" x14ac:dyDescent="0.2">
      <c r="A476" t="str">
        <f>"Unknown"</f>
        <v>Unknown</v>
      </c>
      <c r="B476" t="str">
        <f>"NPOC/TN"</f>
        <v>NPOC/TN</v>
      </c>
      <c r="C476" t="str">
        <f>"1072"</f>
        <v>1072</v>
      </c>
      <c r="D476" t="str">
        <f>"44"</f>
        <v>44</v>
      </c>
      <c r="E476" t="str">
        <f>"C:\TOC3201\Methods\Itamar\acid_sample.met"</f>
        <v>C:\TOC3201\Methods\Itamar\acid_sample.met</v>
      </c>
      <c r="F476" t="str">
        <f>"C:\TOC3201\CalCurves\Itamar\N_cal_25ppm_acid_laurel.2019_08_15_12_20_41.cal"</f>
        <v>C:\TOC3201\CalCurves\Itamar\N_cal_25ppm_acid_laurel.2019_08_15_12_20_41.cal</v>
      </c>
      <c r="G476">
        <v>1</v>
      </c>
      <c r="H476" t="str">
        <f>""</f>
        <v/>
      </c>
      <c r="I476" t="str">
        <f>"8/16/2019 8:49:23 AM"</f>
        <v>8/16/2019 8:49:23 AM</v>
      </c>
      <c r="J476" t="str">
        <f>"1"</f>
        <v>1</v>
      </c>
      <c r="K476" t="str">
        <f>"3"</f>
        <v>3</v>
      </c>
      <c r="L476" t="str">
        <f>"TN"</f>
        <v>TN</v>
      </c>
      <c r="M476" t="str">
        <f>"22.58"</f>
        <v>22.58</v>
      </c>
      <c r="N476" t="str">
        <f>"5.914"</f>
        <v>5.914</v>
      </c>
      <c r="O476" t="str">
        <f>"NPOC:48.91mg/L TN:5.614mg/L"</f>
        <v>NPOC:48.91mg/L TN:5.614mg/L</v>
      </c>
      <c r="P476">
        <v>1</v>
      </c>
      <c r="Q476" t="str">
        <f>"80"</f>
        <v>80</v>
      </c>
    </row>
    <row r="477" spans="1:17" x14ac:dyDescent="0.2">
      <c r="A477" t="str">
        <f>"Unknown"</f>
        <v>Unknown</v>
      </c>
      <c r="B477" t="str">
        <f>"NPOC/TN"</f>
        <v>NPOC/TN</v>
      </c>
      <c r="C477" t="str">
        <f>"1072"</f>
        <v>1072</v>
      </c>
      <c r="D477" t="str">
        <f>"44"</f>
        <v>44</v>
      </c>
      <c r="E477" t="str">
        <f>"C:\TOC3201\Methods\Itamar\acid_sample.met"</f>
        <v>C:\TOC3201\Methods\Itamar\acid_sample.met</v>
      </c>
      <c r="F477" t="str">
        <f>"C:\TOC3201\CalCurves\Itamar\N_cal_25ppm_acid_laurel.2019_08_15_12_20_41.cal"</f>
        <v>C:\TOC3201\CalCurves\Itamar\N_cal_25ppm_acid_laurel.2019_08_15_12_20_41.cal</v>
      </c>
      <c r="G477">
        <v>1</v>
      </c>
      <c r="H477" t="str">
        <f>""</f>
        <v/>
      </c>
      <c r="I477" t="str">
        <f>"8/16/2019 8:53:21 AM"</f>
        <v>8/16/2019 8:53:21 AM</v>
      </c>
      <c r="J477" t="str">
        <f>"1"</f>
        <v>1</v>
      </c>
      <c r="K477" t="str">
        <f>"4"</f>
        <v>4</v>
      </c>
      <c r="L477" t="str">
        <f>"TN"</f>
        <v>TN</v>
      </c>
      <c r="M477" t="str">
        <f>"21.44"</f>
        <v>21.44</v>
      </c>
      <c r="N477" t="str">
        <f>"5.624"</f>
        <v>5.624</v>
      </c>
      <c r="O477" t="str">
        <f>"NPOC:48.91mg/L TN:5.614mg/L"</f>
        <v>NPOC:48.91mg/L TN:5.614mg/L</v>
      </c>
      <c r="P477">
        <v>0</v>
      </c>
      <c r="Q477" t="str">
        <f>"80"</f>
        <v>80</v>
      </c>
    </row>
    <row r="478" spans="1:17" x14ac:dyDescent="0.2">
      <c r="A478" t="str">
        <f>"Unknown"</f>
        <v>Unknown</v>
      </c>
      <c r="B478" t="str">
        <f>"NPOC/TN"</f>
        <v>NPOC/TN</v>
      </c>
      <c r="C478" t="str">
        <f>"1072"</f>
        <v>1072</v>
      </c>
      <c r="D478" t="str">
        <f>"44"</f>
        <v>44</v>
      </c>
      <c r="E478" t="str">
        <f>"C:\TOC3201\Methods\Itamar\acid_sample.met"</f>
        <v>C:\TOC3201\Methods\Itamar\acid_sample.met</v>
      </c>
      <c r="F478" t="str">
        <f>"C:\TOC3201\CalCurves\Itamar\N_cal_25ppm_acid_laurel.2019_08_15_12_20_41.cal"</f>
        <v>C:\TOC3201\CalCurves\Itamar\N_cal_25ppm_acid_laurel.2019_08_15_12_20_41.cal</v>
      </c>
      <c r="G478">
        <v>1</v>
      </c>
      <c r="H478" t="str">
        <f>""</f>
        <v/>
      </c>
      <c r="I478" t="str">
        <f>"8/16/2019 8:57:14 AM"</f>
        <v>8/16/2019 8:57:14 AM</v>
      </c>
      <c r="J478" t="str">
        <f>"1"</f>
        <v>1</v>
      </c>
      <c r="K478" t="str">
        <f>"5"</f>
        <v>5</v>
      </c>
      <c r="L478" t="str">
        <f>"TN"</f>
        <v>TN</v>
      </c>
      <c r="M478" t="str">
        <f>"21.67"</f>
        <v>21.67</v>
      </c>
      <c r="N478" t="str">
        <f>"5.682"</f>
        <v>5.682</v>
      </c>
      <c r="O478" t="str">
        <f>"NPOC:48.91mg/L TN:5.614mg/L"</f>
        <v>NPOC:48.91mg/L TN:5.614mg/L</v>
      </c>
      <c r="P478">
        <v>0</v>
      </c>
      <c r="Q478" t="str">
        <f>"80"</f>
        <v>80</v>
      </c>
    </row>
    <row r="479" spans="1:17" x14ac:dyDescent="0.2">
      <c r="A479" t="str">
        <f>"Unknown"</f>
        <v>Unknown</v>
      </c>
      <c r="B479" t="str">
        <f>"NPOC/TN"</f>
        <v>NPOC/TN</v>
      </c>
      <c r="C479" t="str">
        <f>"1074"</f>
        <v>1074</v>
      </c>
      <c r="D479" t="str">
        <f>"45"</f>
        <v>45</v>
      </c>
      <c r="E479" t="str">
        <f>"C:\TOC3201\Methods\Itamar\acid_sample.met"</f>
        <v>C:\TOC3201\Methods\Itamar\acid_sample.met</v>
      </c>
      <c r="F479" t="str">
        <f>"C:\TOC3201\CalCurves\Itamar\C_cal_100ppm_acid_laurel.2019_08_15_10_24_40.cal"</f>
        <v>C:\TOC3201\CalCurves\Itamar\C_cal_100ppm_acid_laurel.2019_08_15_10_24_40.cal</v>
      </c>
      <c r="G479">
        <v>1</v>
      </c>
      <c r="H479" t="str">
        <f>""</f>
        <v/>
      </c>
      <c r="I479" t="str">
        <f>"8/16/2019 9:07:47 AM"</f>
        <v>8/16/2019 9:07:47 AM</v>
      </c>
      <c r="J479" t="str">
        <f>"1"</f>
        <v>1</v>
      </c>
      <c r="K479" t="str">
        <f>"1"</f>
        <v>1</v>
      </c>
      <c r="L479" t="str">
        <f>"NPOC"</f>
        <v>NPOC</v>
      </c>
      <c r="M479" t="str">
        <f>"238.4"</f>
        <v>238.4</v>
      </c>
      <c r="N479" t="str">
        <f>"49.02"</f>
        <v>49.02</v>
      </c>
      <c r="O479" t="str">
        <f>"NPOC:49.95mg/L TN:5.565mg/L"</f>
        <v>NPOC:49.95mg/L TN:5.565mg/L</v>
      </c>
      <c r="P479">
        <v>0</v>
      </c>
      <c r="Q479" t="str">
        <f>"80"</f>
        <v>80</v>
      </c>
    </row>
    <row r="480" spans="1:17" x14ac:dyDescent="0.2">
      <c r="A480" t="str">
        <f>"Unknown"</f>
        <v>Unknown</v>
      </c>
      <c r="B480" t="str">
        <f>"NPOC/TN"</f>
        <v>NPOC/TN</v>
      </c>
      <c r="C480" t="str">
        <f>"1074"</f>
        <v>1074</v>
      </c>
      <c r="D480" t="str">
        <f>"45"</f>
        <v>45</v>
      </c>
      <c r="E480" t="str">
        <f>"C:\TOC3201\Methods\Itamar\acid_sample.met"</f>
        <v>C:\TOC3201\Methods\Itamar\acid_sample.met</v>
      </c>
      <c r="F480" t="str">
        <f>"C:\TOC3201\CalCurves\Itamar\C_cal_100ppm_acid_laurel.2019_08_15_10_24_40.cal"</f>
        <v>C:\TOC3201\CalCurves\Itamar\C_cal_100ppm_acid_laurel.2019_08_15_10_24_40.cal</v>
      </c>
      <c r="G480">
        <v>1</v>
      </c>
      <c r="H480" t="str">
        <f>""</f>
        <v/>
      </c>
      <c r="I480" t="str">
        <f>"8/16/2019 9:11:41 AM"</f>
        <v>8/16/2019 9:11:41 AM</v>
      </c>
      <c r="J480" t="str">
        <f>"1"</f>
        <v>1</v>
      </c>
      <c r="K480" t="str">
        <f>"2"</f>
        <v>2</v>
      </c>
      <c r="L480" t="str">
        <f>"NPOC"</f>
        <v>NPOC</v>
      </c>
      <c r="M480" t="str">
        <f>"231.7"</f>
        <v>231.7</v>
      </c>
      <c r="N480" t="str">
        <f>"47.64"</f>
        <v>47.64</v>
      </c>
      <c r="O480" t="str">
        <f>"NPOC:49.95mg/L TN:5.565mg/L"</f>
        <v>NPOC:49.95mg/L TN:5.565mg/L</v>
      </c>
      <c r="P480">
        <v>1</v>
      </c>
      <c r="Q480" t="str">
        <f>"80"</f>
        <v>80</v>
      </c>
    </row>
    <row r="481" spans="1:17" x14ac:dyDescent="0.2">
      <c r="A481" t="str">
        <f>"Unknown"</f>
        <v>Unknown</v>
      </c>
      <c r="B481" t="str">
        <f>"NPOC/TN"</f>
        <v>NPOC/TN</v>
      </c>
      <c r="C481" t="str">
        <f>"1074"</f>
        <v>1074</v>
      </c>
      <c r="D481" t="str">
        <f>"45"</f>
        <v>45</v>
      </c>
      <c r="E481" t="str">
        <f>"C:\TOC3201\Methods\Itamar\acid_sample.met"</f>
        <v>C:\TOC3201\Methods\Itamar\acid_sample.met</v>
      </c>
      <c r="F481" t="str">
        <f>"C:\TOC3201\CalCurves\Itamar\C_cal_100ppm_acid_laurel.2019_08_15_10_24_40.cal"</f>
        <v>C:\TOC3201\CalCurves\Itamar\C_cal_100ppm_acid_laurel.2019_08_15_10_24_40.cal</v>
      </c>
      <c r="G481">
        <v>1</v>
      </c>
      <c r="H481" t="str">
        <f>""</f>
        <v/>
      </c>
      <c r="I481" t="str">
        <f>"8/16/2019 9:15:47 AM"</f>
        <v>8/16/2019 9:15:47 AM</v>
      </c>
      <c r="J481" t="str">
        <f>"1"</f>
        <v>1</v>
      </c>
      <c r="K481" t="str">
        <f>"3"</f>
        <v>3</v>
      </c>
      <c r="L481" t="str">
        <f>"NPOC"</f>
        <v>NPOC</v>
      </c>
      <c r="M481" t="str">
        <f>"244.7"</f>
        <v>244.7</v>
      </c>
      <c r="N481" t="str">
        <f>"50.31"</f>
        <v>50.31</v>
      </c>
      <c r="O481" t="str">
        <f>"NPOC:49.95mg/L TN:5.565mg/L"</f>
        <v>NPOC:49.95mg/L TN:5.565mg/L</v>
      </c>
      <c r="P481">
        <v>0</v>
      </c>
      <c r="Q481" t="str">
        <f>"80"</f>
        <v>80</v>
      </c>
    </row>
    <row r="482" spans="1:17" x14ac:dyDescent="0.2">
      <c r="A482" t="str">
        <f>"Unknown"</f>
        <v>Unknown</v>
      </c>
      <c r="B482" t="str">
        <f>"NPOC/TN"</f>
        <v>NPOC/TN</v>
      </c>
      <c r="C482" t="str">
        <f>"1074"</f>
        <v>1074</v>
      </c>
      <c r="D482" t="str">
        <f>"45"</f>
        <v>45</v>
      </c>
      <c r="E482" t="str">
        <f>"C:\TOC3201\Methods\Itamar\acid_sample.met"</f>
        <v>C:\TOC3201\Methods\Itamar\acid_sample.met</v>
      </c>
      <c r="F482" t="str">
        <f>"C:\TOC3201\CalCurves\Itamar\C_cal_100ppm_acid_laurel.2019_08_15_10_24_40.cal"</f>
        <v>C:\TOC3201\CalCurves\Itamar\C_cal_100ppm_acid_laurel.2019_08_15_10_24_40.cal</v>
      </c>
      <c r="G482">
        <v>1</v>
      </c>
      <c r="H482" t="str">
        <f>""</f>
        <v/>
      </c>
      <c r="I482" t="str">
        <f>"8/16/2019 9:20:02 AM"</f>
        <v>8/16/2019 9:20:02 AM</v>
      </c>
      <c r="J482" t="str">
        <f>"1"</f>
        <v>1</v>
      </c>
      <c r="K482" t="str">
        <f>"4"</f>
        <v>4</v>
      </c>
      <c r="L482" t="str">
        <f>"NPOC"</f>
        <v>NPOC</v>
      </c>
      <c r="M482" t="str">
        <f>"245.8"</f>
        <v>245.8</v>
      </c>
      <c r="N482" t="str">
        <f>"50.54"</f>
        <v>50.54</v>
      </c>
      <c r="O482" t="str">
        <f>"NPOC:49.95mg/L TN:5.565mg/L"</f>
        <v>NPOC:49.95mg/L TN:5.565mg/L</v>
      </c>
      <c r="P482">
        <v>0</v>
      </c>
      <c r="Q482" t="str">
        <f>"80"</f>
        <v>80</v>
      </c>
    </row>
    <row r="483" spans="1:17" x14ac:dyDescent="0.2">
      <c r="A483" t="str">
        <f>"Unknown"</f>
        <v>Unknown</v>
      </c>
      <c r="B483" t="str">
        <f>"NPOC/TN"</f>
        <v>NPOC/TN</v>
      </c>
      <c r="C483" t="str">
        <f>"1074"</f>
        <v>1074</v>
      </c>
      <c r="D483" t="str">
        <f>"45"</f>
        <v>45</v>
      </c>
      <c r="E483" t="str">
        <f>"C:\TOC3201\Methods\Itamar\acid_sample.met"</f>
        <v>C:\TOC3201\Methods\Itamar\acid_sample.met</v>
      </c>
      <c r="F483" t="str">
        <f>"C:\TOC3201\CalCurves\Itamar\N_cal_25ppm_acid_laurel.2019_08_15_12_20_41.cal"</f>
        <v>C:\TOC3201\CalCurves\Itamar\N_cal_25ppm_acid_laurel.2019_08_15_12_20_41.cal</v>
      </c>
      <c r="G483">
        <v>1</v>
      </c>
      <c r="H483" t="str">
        <f>""</f>
        <v/>
      </c>
      <c r="I483" t="str">
        <f>"8/16/2019 9:07:47 AM"</f>
        <v>8/16/2019 9:07:47 AM</v>
      </c>
      <c r="J483" t="str">
        <f>"1"</f>
        <v>1</v>
      </c>
      <c r="K483" t="str">
        <f>"1"</f>
        <v>1</v>
      </c>
      <c r="L483" t="str">
        <f>"TN"</f>
        <v>TN</v>
      </c>
      <c r="M483" t="str">
        <f>"21.23"</f>
        <v>21.23</v>
      </c>
      <c r="N483" t="str">
        <f>"5.570"</f>
        <v>5.570</v>
      </c>
      <c r="O483" t="str">
        <f>"NPOC:49.95mg/L TN:5.565mg/L"</f>
        <v>NPOC:49.95mg/L TN:5.565mg/L</v>
      </c>
      <c r="P483">
        <v>0</v>
      </c>
      <c r="Q483" t="str">
        <f>"80"</f>
        <v>80</v>
      </c>
    </row>
    <row r="484" spans="1:17" x14ac:dyDescent="0.2">
      <c r="A484" t="str">
        <f>"Unknown"</f>
        <v>Unknown</v>
      </c>
      <c r="B484" t="str">
        <f>"NPOC/TN"</f>
        <v>NPOC/TN</v>
      </c>
      <c r="C484" t="str">
        <f>"1074"</f>
        <v>1074</v>
      </c>
      <c r="D484" t="str">
        <f>"45"</f>
        <v>45</v>
      </c>
      <c r="E484" t="str">
        <f>"C:\TOC3201\Methods\Itamar\acid_sample.met"</f>
        <v>C:\TOC3201\Methods\Itamar\acid_sample.met</v>
      </c>
      <c r="F484" t="str">
        <f>"C:\TOC3201\CalCurves\Itamar\N_cal_25ppm_acid_laurel.2019_08_15_12_20_41.cal"</f>
        <v>C:\TOC3201\CalCurves\Itamar\N_cal_25ppm_acid_laurel.2019_08_15_12_20_41.cal</v>
      </c>
      <c r="G484">
        <v>1</v>
      </c>
      <c r="H484" t="str">
        <f>""</f>
        <v/>
      </c>
      <c r="I484" t="str">
        <f>"8/16/2019 9:11:41 AM"</f>
        <v>8/16/2019 9:11:41 AM</v>
      </c>
      <c r="J484" t="str">
        <f>"1"</f>
        <v>1</v>
      </c>
      <c r="K484" t="str">
        <f>"2"</f>
        <v>2</v>
      </c>
      <c r="L484" t="str">
        <f>"TN"</f>
        <v>TN</v>
      </c>
      <c r="M484" t="str">
        <f>"21.01"</f>
        <v>21.01</v>
      </c>
      <c r="N484" t="str">
        <f>"5.514"</f>
        <v>5.514</v>
      </c>
      <c r="O484" t="str">
        <f>"NPOC:49.95mg/L TN:5.565mg/L"</f>
        <v>NPOC:49.95mg/L TN:5.565mg/L</v>
      </c>
      <c r="P484">
        <v>0</v>
      </c>
      <c r="Q484" t="str">
        <f>"80"</f>
        <v>80</v>
      </c>
    </row>
    <row r="485" spans="1:17" x14ac:dyDescent="0.2">
      <c r="A485" t="str">
        <f>"Unknown"</f>
        <v>Unknown</v>
      </c>
      <c r="B485" t="str">
        <f>"NPOC/TN"</f>
        <v>NPOC/TN</v>
      </c>
      <c r="C485" t="str">
        <f>"1074"</f>
        <v>1074</v>
      </c>
      <c r="D485" t="str">
        <f>"45"</f>
        <v>45</v>
      </c>
      <c r="E485" t="str">
        <f>"C:\TOC3201\Methods\Itamar\acid_sample.met"</f>
        <v>C:\TOC3201\Methods\Itamar\acid_sample.met</v>
      </c>
      <c r="F485" t="str">
        <f>"C:\TOC3201\CalCurves\Itamar\N_cal_25ppm_acid_laurel.2019_08_15_12_20_41.cal"</f>
        <v>C:\TOC3201\CalCurves\Itamar\N_cal_25ppm_acid_laurel.2019_08_15_12_20_41.cal</v>
      </c>
      <c r="G485">
        <v>1</v>
      </c>
      <c r="H485" t="str">
        <f>""</f>
        <v/>
      </c>
      <c r="I485" t="str">
        <f>"8/16/2019 9:15:47 AM"</f>
        <v>8/16/2019 9:15:47 AM</v>
      </c>
      <c r="J485" t="str">
        <f>"1"</f>
        <v>1</v>
      </c>
      <c r="K485" t="str">
        <f>"3"</f>
        <v>3</v>
      </c>
      <c r="L485" t="str">
        <f>"TN"</f>
        <v>TN</v>
      </c>
      <c r="M485" t="str">
        <f>"22.00"</f>
        <v>22.00</v>
      </c>
      <c r="N485" t="str">
        <f>"5.766"</f>
        <v>5.766</v>
      </c>
      <c r="O485" t="str">
        <f>"NPOC:49.95mg/L TN:5.565mg/L"</f>
        <v>NPOC:49.95mg/L TN:5.565mg/L</v>
      </c>
      <c r="P485">
        <v>1</v>
      </c>
      <c r="Q485" t="str">
        <f>"80"</f>
        <v>80</v>
      </c>
    </row>
    <row r="486" spans="1:17" x14ac:dyDescent="0.2">
      <c r="A486" t="str">
        <f>"Unknown"</f>
        <v>Unknown</v>
      </c>
      <c r="B486" t="str">
        <f>"NPOC/TN"</f>
        <v>NPOC/TN</v>
      </c>
      <c r="C486" t="str">
        <f>"1074"</f>
        <v>1074</v>
      </c>
      <c r="D486" t="str">
        <f>"45"</f>
        <v>45</v>
      </c>
      <c r="E486" t="str">
        <f>"C:\TOC3201\Methods\Itamar\acid_sample.met"</f>
        <v>C:\TOC3201\Methods\Itamar\acid_sample.met</v>
      </c>
      <c r="F486" t="str">
        <f>"C:\TOC3201\CalCurves\Itamar\N_cal_25ppm_acid_laurel.2019_08_15_12_20_41.cal"</f>
        <v>C:\TOC3201\CalCurves\Itamar\N_cal_25ppm_acid_laurel.2019_08_15_12_20_41.cal</v>
      </c>
      <c r="G486">
        <v>1</v>
      </c>
      <c r="H486" t="str">
        <f>""</f>
        <v/>
      </c>
      <c r="I486" t="str">
        <f>"8/16/2019 9:20:02 AM"</f>
        <v>8/16/2019 9:20:02 AM</v>
      </c>
      <c r="J486" t="str">
        <f>"1"</f>
        <v>1</v>
      </c>
      <c r="K486" t="str">
        <f>"4"</f>
        <v>4</v>
      </c>
      <c r="L486" t="str">
        <f>"TN"</f>
        <v>TN</v>
      </c>
      <c r="M486" t="str">
        <f>"23.37"</f>
        <v>23.37</v>
      </c>
      <c r="N486" t="str">
        <f>"6.116"</f>
        <v>6.116</v>
      </c>
      <c r="O486" t="str">
        <f>"NPOC:49.95mg/L TN:5.565mg/L"</f>
        <v>NPOC:49.95mg/L TN:5.565mg/L</v>
      </c>
      <c r="P486">
        <v>1</v>
      </c>
      <c r="Q486" t="str">
        <f>"80"</f>
        <v>80</v>
      </c>
    </row>
    <row r="487" spans="1:17" x14ac:dyDescent="0.2">
      <c r="A487" t="str">
        <f>"Unknown"</f>
        <v>Unknown</v>
      </c>
      <c r="B487" t="str">
        <f>"NPOC/TN"</f>
        <v>NPOC/TN</v>
      </c>
      <c r="C487" t="str">
        <f>"1074"</f>
        <v>1074</v>
      </c>
      <c r="D487" t="str">
        <f>"45"</f>
        <v>45</v>
      </c>
      <c r="E487" t="str">
        <f>"C:\TOC3201\Methods\Itamar\acid_sample.met"</f>
        <v>C:\TOC3201\Methods\Itamar\acid_sample.met</v>
      </c>
      <c r="F487" t="str">
        <f>"C:\TOC3201\CalCurves\Itamar\N_cal_25ppm_acid_laurel.2019_08_15_12_20_41.cal"</f>
        <v>C:\TOC3201\CalCurves\Itamar\N_cal_25ppm_acid_laurel.2019_08_15_12_20_41.cal</v>
      </c>
      <c r="G487">
        <v>1</v>
      </c>
      <c r="H487" t="str">
        <f>""</f>
        <v/>
      </c>
      <c r="I487" t="str">
        <f>"8/16/2019 9:23:38 AM"</f>
        <v>8/16/2019 9:23:38 AM</v>
      </c>
      <c r="J487" t="str">
        <f>"1"</f>
        <v>1</v>
      </c>
      <c r="K487" t="str">
        <f>"5"</f>
        <v>5</v>
      </c>
      <c r="L487" t="str">
        <f>"TN"</f>
        <v>TN</v>
      </c>
      <c r="M487" t="str">
        <f>"21.39"</f>
        <v>21.39</v>
      </c>
      <c r="N487" t="str">
        <f>"5.611"</f>
        <v>5.611</v>
      </c>
      <c r="O487" t="str">
        <f>"NPOC:49.95mg/L TN:5.565mg/L"</f>
        <v>NPOC:49.95mg/L TN:5.565mg/L</v>
      </c>
      <c r="P487">
        <v>0</v>
      </c>
      <c r="Q487" t="str">
        <f>"80"</f>
        <v>80</v>
      </c>
    </row>
    <row r="488" spans="1:17" x14ac:dyDescent="0.2">
      <c r="A488" t="str">
        <f>"Unknown"</f>
        <v>Unknown</v>
      </c>
      <c r="B488" t="str">
        <f>"NPOC/TN"</f>
        <v>NPOC/TN</v>
      </c>
      <c r="C488" t="str">
        <f>"1076"</f>
        <v>1076</v>
      </c>
      <c r="D488" t="str">
        <f>"46"</f>
        <v>46</v>
      </c>
      <c r="E488" t="str">
        <f>"C:\TOC3201\Methods\Itamar\acid_sample.met"</f>
        <v>C:\TOC3201\Methods\Itamar\acid_sample.met</v>
      </c>
      <c r="F488" t="str">
        <f>"C:\TOC3201\CalCurves\Itamar\C_cal_100ppm_acid_laurel.2019_08_15_10_24_40.cal"</f>
        <v>C:\TOC3201\CalCurves\Itamar\C_cal_100ppm_acid_laurel.2019_08_15_10_24_40.cal</v>
      </c>
      <c r="G488">
        <v>1</v>
      </c>
      <c r="H488" t="str">
        <f>""</f>
        <v/>
      </c>
      <c r="I488" t="str">
        <f>"8/16/2019 9:33:50 AM"</f>
        <v>8/16/2019 9:33:50 AM</v>
      </c>
      <c r="J488" t="str">
        <f>"1"</f>
        <v>1</v>
      </c>
      <c r="K488" t="str">
        <f>"1"</f>
        <v>1</v>
      </c>
      <c r="L488" t="str">
        <f>"NPOC"</f>
        <v>NPOC</v>
      </c>
      <c r="M488" t="str">
        <f>"82.50"</f>
        <v>82.50</v>
      </c>
      <c r="N488" t="str">
        <f>"17.00"</f>
        <v>17.00</v>
      </c>
      <c r="O488" t="str">
        <f>"NPOC:16.95mg/L TN:1.822mg/L"</f>
        <v>NPOC:16.95mg/L TN:1.822mg/L</v>
      </c>
      <c r="P488">
        <v>0</v>
      </c>
      <c r="Q488" t="str">
        <f>"80"</f>
        <v>80</v>
      </c>
    </row>
    <row r="489" spans="1:17" x14ac:dyDescent="0.2">
      <c r="A489" t="str">
        <f>"Unknown"</f>
        <v>Unknown</v>
      </c>
      <c r="B489" t="str">
        <f>"NPOC/TN"</f>
        <v>NPOC/TN</v>
      </c>
      <c r="C489" t="str">
        <f>"1076"</f>
        <v>1076</v>
      </c>
      <c r="D489" t="str">
        <f>"46"</f>
        <v>46</v>
      </c>
      <c r="E489" t="str">
        <f>"C:\TOC3201\Methods\Itamar\acid_sample.met"</f>
        <v>C:\TOC3201\Methods\Itamar\acid_sample.met</v>
      </c>
      <c r="F489" t="str">
        <f>"C:\TOC3201\CalCurves\Itamar\C_cal_100ppm_acid_laurel.2019_08_15_10_24_40.cal"</f>
        <v>C:\TOC3201\CalCurves\Itamar\C_cal_100ppm_acid_laurel.2019_08_15_10_24_40.cal</v>
      </c>
      <c r="G489">
        <v>1</v>
      </c>
      <c r="H489" t="str">
        <f>""</f>
        <v/>
      </c>
      <c r="I489" t="str">
        <f>"8/16/2019 9:37:28 AM"</f>
        <v>8/16/2019 9:37:28 AM</v>
      </c>
      <c r="J489" t="str">
        <f>"1"</f>
        <v>1</v>
      </c>
      <c r="K489" t="str">
        <f>"2"</f>
        <v>2</v>
      </c>
      <c r="L489" t="str">
        <f>"NPOC"</f>
        <v>NPOC</v>
      </c>
      <c r="M489" t="str">
        <f>"80.82"</f>
        <v>80.82</v>
      </c>
      <c r="N489" t="str">
        <f>"16.66"</f>
        <v>16.66</v>
      </c>
      <c r="O489" t="str">
        <f>"NPOC:16.95mg/L TN:1.822mg/L"</f>
        <v>NPOC:16.95mg/L TN:1.822mg/L</v>
      </c>
      <c r="P489">
        <v>0</v>
      </c>
      <c r="Q489" t="str">
        <f>"80"</f>
        <v>80</v>
      </c>
    </row>
    <row r="490" spans="1:17" x14ac:dyDescent="0.2">
      <c r="A490" t="str">
        <f>"Unknown"</f>
        <v>Unknown</v>
      </c>
      <c r="B490" t="str">
        <f>"NPOC/TN"</f>
        <v>NPOC/TN</v>
      </c>
      <c r="C490" t="str">
        <f>"1076"</f>
        <v>1076</v>
      </c>
      <c r="D490" t="str">
        <f>"46"</f>
        <v>46</v>
      </c>
      <c r="E490" t="str">
        <f>"C:\TOC3201\Methods\Itamar\acid_sample.met"</f>
        <v>C:\TOC3201\Methods\Itamar\acid_sample.met</v>
      </c>
      <c r="F490" t="str">
        <f>"C:\TOC3201\CalCurves\Itamar\C_cal_100ppm_acid_laurel.2019_08_15_10_24_40.cal"</f>
        <v>C:\TOC3201\CalCurves\Itamar\C_cal_100ppm_acid_laurel.2019_08_15_10_24_40.cal</v>
      </c>
      <c r="G490">
        <v>1</v>
      </c>
      <c r="H490" t="str">
        <f>""</f>
        <v/>
      </c>
      <c r="I490" t="str">
        <f>"8/16/2019 9:41:13 AM"</f>
        <v>8/16/2019 9:41:13 AM</v>
      </c>
      <c r="J490" t="str">
        <f>"1"</f>
        <v>1</v>
      </c>
      <c r="K490" t="str">
        <f>"3"</f>
        <v>3</v>
      </c>
      <c r="L490" t="str">
        <f>"NPOC"</f>
        <v>NPOC</v>
      </c>
      <c r="M490" t="str">
        <f>"83.45"</f>
        <v>83.45</v>
      </c>
      <c r="N490" t="str">
        <f>"17.20"</f>
        <v>17.20</v>
      </c>
      <c r="O490" t="str">
        <f>"NPOC:16.95mg/L TN:1.822mg/L"</f>
        <v>NPOC:16.95mg/L TN:1.822mg/L</v>
      </c>
      <c r="P490">
        <v>0</v>
      </c>
      <c r="Q490" t="str">
        <f>"80"</f>
        <v>80</v>
      </c>
    </row>
    <row r="491" spans="1:17" x14ac:dyDescent="0.2">
      <c r="A491" t="str">
        <f>"Unknown"</f>
        <v>Unknown</v>
      </c>
      <c r="B491" t="str">
        <f>"NPOC/TN"</f>
        <v>NPOC/TN</v>
      </c>
      <c r="C491" t="str">
        <f>"1076"</f>
        <v>1076</v>
      </c>
      <c r="D491" t="str">
        <f>"46"</f>
        <v>46</v>
      </c>
      <c r="E491" t="str">
        <f>"C:\TOC3201\Methods\Itamar\acid_sample.met"</f>
        <v>C:\TOC3201\Methods\Itamar\acid_sample.met</v>
      </c>
      <c r="F491" t="str">
        <f>"C:\TOC3201\CalCurves\Itamar\N_cal_25ppm_acid_laurel.2019_08_15_12_20_41.cal"</f>
        <v>C:\TOC3201\CalCurves\Itamar\N_cal_25ppm_acid_laurel.2019_08_15_12_20_41.cal</v>
      </c>
      <c r="G491">
        <v>1</v>
      </c>
      <c r="H491" t="str">
        <f>""</f>
        <v/>
      </c>
      <c r="I491" t="str">
        <f>"8/16/2019 9:33:50 AM"</f>
        <v>8/16/2019 9:33:50 AM</v>
      </c>
      <c r="J491" t="str">
        <f>"1"</f>
        <v>1</v>
      </c>
      <c r="K491" t="str">
        <f>"1"</f>
        <v>1</v>
      </c>
      <c r="L491" t="str">
        <f>"TN"</f>
        <v>TN</v>
      </c>
      <c r="M491" t="str">
        <f>"6.591"</f>
        <v>6.591</v>
      </c>
      <c r="N491" t="str">
        <f>"1.840"</f>
        <v>1.840</v>
      </c>
      <c r="O491" t="str">
        <f>"NPOC:16.95mg/L TN:1.822mg/L"</f>
        <v>NPOC:16.95mg/L TN:1.822mg/L</v>
      </c>
      <c r="P491">
        <v>0</v>
      </c>
      <c r="Q491" t="str">
        <f>"80"</f>
        <v>80</v>
      </c>
    </row>
    <row r="492" spans="1:17" x14ac:dyDescent="0.2">
      <c r="A492" t="str">
        <f>"Unknown"</f>
        <v>Unknown</v>
      </c>
      <c r="B492" t="str">
        <f>"NPOC/TN"</f>
        <v>NPOC/TN</v>
      </c>
      <c r="C492" t="str">
        <f>"1076"</f>
        <v>1076</v>
      </c>
      <c r="D492" t="str">
        <f>"46"</f>
        <v>46</v>
      </c>
      <c r="E492" t="str">
        <f>"C:\TOC3201\Methods\Itamar\acid_sample.met"</f>
        <v>C:\TOC3201\Methods\Itamar\acid_sample.met</v>
      </c>
      <c r="F492" t="str">
        <f>"C:\TOC3201\CalCurves\Itamar\N_cal_25ppm_acid_laurel.2019_08_15_12_20_41.cal"</f>
        <v>C:\TOC3201\CalCurves\Itamar\N_cal_25ppm_acid_laurel.2019_08_15_12_20_41.cal</v>
      </c>
      <c r="G492">
        <v>1</v>
      </c>
      <c r="H492" t="str">
        <f>""</f>
        <v/>
      </c>
      <c r="I492" t="str">
        <f>"8/16/2019 9:37:28 AM"</f>
        <v>8/16/2019 9:37:28 AM</v>
      </c>
      <c r="J492" t="str">
        <f>"1"</f>
        <v>1</v>
      </c>
      <c r="K492" t="str">
        <f>"2"</f>
        <v>2</v>
      </c>
      <c r="L492" t="str">
        <f>"TN"</f>
        <v>TN</v>
      </c>
      <c r="M492" t="str">
        <f>"6.432"</f>
        <v>6.432</v>
      </c>
      <c r="N492" t="str">
        <f>"1.800"</f>
        <v>1.800</v>
      </c>
      <c r="O492" t="str">
        <f>"NPOC:16.95mg/L TN:1.822mg/L"</f>
        <v>NPOC:16.95mg/L TN:1.822mg/L</v>
      </c>
      <c r="P492">
        <v>0</v>
      </c>
      <c r="Q492" t="str">
        <f>"80"</f>
        <v>80</v>
      </c>
    </row>
    <row r="493" spans="1:17" x14ac:dyDescent="0.2">
      <c r="A493" t="str">
        <f>"Unknown"</f>
        <v>Unknown</v>
      </c>
      <c r="B493" t="str">
        <f>"NPOC/TN"</f>
        <v>NPOC/TN</v>
      </c>
      <c r="C493" t="str">
        <f>"1076"</f>
        <v>1076</v>
      </c>
      <c r="D493" t="str">
        <f>"46"</f>
        <v>46</v>
      </c>
      <c r="E493" t="str">
        <f>"C:\TOC3201\Methods\Itamar\acid_sample.met"</f>
        <v>C:\TOC3201\Methods\Itamar\acid_sample.met</v>
      </c>
      <c r="F493" t="str">
        <f>"C:\TOC3201\CalCurves\Itamar\N_cal_25ppm_acid_laurel.2019_08_15_12_20_41.cal"</f>
        <v>C:\TOC3201\CalCurves\Itamar\N_cal_25ppm_acid_laurel.2019_08_15_12_20_41.cal</v>
      </c>
      <c r="G493">
        <v>1</v>
      </c>
      <c r="H493" t="str">
        <f>""</f>
        <v/>
      </c>
      <c r="I493" t="str">
        <f>"8/16/2019 9:41:13 AM"</f>
        <v>8/16/2019 9:41:13 AM</v>
      </c>
      <c r="J493" t="str">
        <f>"1"</f>
        <v>1</v>
      </c>
      <c r="K493" t="str">
        <f>"3"</f>
        <v>3</v>
      </c>
      <c r="L493" t="str">
        <f>"TN"</f>
        <v>TN</v>
      </c>
      <c r="M493" t="str">
        <f>"6.531"</f>
        <v>6.531</v>
      </c>
      <c r="N493" t="str">
        <f>"1.825"</f>
        <v>1.825</v>
      </c>
      <c r="O493" t="str">
        <f>"NPOC:16.95mg/L TN:1.822mg/L"</f>
        <v>NPOC:16.95mg/L TN:1.822mg/L</v>
      </c>
      <c r="P493">
        <v>0</v>
      </c>
      <c r="Q493" t="str">
        <f>"80"</f>
        <v>80</v>
      </c>
    </row>
    <row r="494" spans="1:17" x14ac:dyDescent="0.2">
      <c r="A494" t="str">
        <f>"Unknown"</f>
        <v>Unknown</v>
      </c>
      <c r="B494" t="str">
        <f>"NPOC/TN"</f>
        <v>NPOC/TN</v>
      </c>
      <c r="C494" t="str">
        <f>"1078"</f>
        <v>1078</v>
      </c>
      <c r="D494" t="str">
        <f>"47"</f>
        <v>47</v>
      </c>
      <c r="E494" t="str">
        <f>"C:\TOC3201\Methods\Itamar\acid_sample.met"</f>
        <v>C:\TOC3201\Methods\Itamar\acid_sample.met</v>
      </c>
      <c r="F494" t="str">
        <f>"C:\TOC3201\CalCurves\Itamar\C_cal_100ppm_acid_laurel.2019_08_15_10_24_40.cal"</f>
        <v>C:\TOC3201\CalCurves\Itamar\C_cal_100ppm_acid_laurel.2019_08_15_10_24_40.cal</v>
      </c>
      <c r="G494">
        <v>1</v>
      </c>
      <c r="H494" t="str">
        <f>""</f>
        <v/>
      </c>
      <c r="I494" t="str">
        <f>"8/16/2019 9:51:27 AM"</f>
        <v>8/16/2019 9:51:27 AM</v>
      </c>
      <c r="J494" t="str">
        <f>"1"</f>
        <v>1</v>
      </c>
      <c r="K494" t="str">
        <f>"1"</f>
        <v>1</v>
      </c>
      <c r="L494" t="str">
        <f>"NPOC"</f>
        <v>NPOC</v>
      </c>
      <c r="M494" t="str">
        <f>"86.51"</f>
        <v>86.51</v>
      </c>
      <c r="N494" t="str">
        <f>"17.82"</f>
        <v>17.82</v>
      </c>
      <c r="O494" t="str">
        <f>"NPOC:17.63mg/L TN:1.852mg/L"</f>
        <v>NPOC:17.63mg/L TN:1.852mg/L</v>
      </c>
      <c r="P494">
        <v>0</v>
      </c>
      <c r="Q494" t="str">
        <f>"80"</f>
        <v>80</v>
      </c>
    </row>
    <row r="495" spans="1:17" x14ac:dyDescent="0.2">
      <c r="A495" t="str">
        <f>"Unknown"</f>
        <v>Unknown</v>
      </c>
      <c r="B495" t="str">
        <f>"NPOC/TN"</f>
        <v>NPOC/TN</v>
      </c>
      <c r="C495" t="str">
        <f>"1078"</f>
        <v>1078</v>
      </c>
      <c r="D495" t="str">
        <f>"47"</f>
        <v>47</v>
      </c>
      <c r="E495" t="str">
        <f>"C:\TOC3201\Methods\Itamar\acid_sample.met"</f>
        <v>C:\TOC3201\Methods\Itamar\acid_sample.met</v>
      </c>
      <c r="F495" t="str">
        <f>"C:\TOC3201\CalCurves\Itamar\C_cal_100ppm_acid_laurel.2019_08_15_10_24_40.cal"</f>
        <v>C:\TOC3201\CalCurves\Itamar\C_cal_100ppm_acid_laurel.2019_08_15_10_24_40.cal</v>
      </c>
      <c r="G495">
        <v>1</v>
      </c>
      <c r="H495" t="str">
        <f>""</f>
        <v/>
      </c>
      <c r="I495" t="str">
        <f>"8/16/2019 9:55:00 AM"</f>
        <v>8/16/2019 9:55:00 AM</v>
      </c>
      <c r="J495" t="str">
        <f>"1"</f>
        <v>1</v>
      </c>
      <c r="K495" t="str">
        <f>"2"</f>
        <v>2</v>
      </c>
      <c r="L495" t="str">
        <f>"NPOC"</f>
        <v>NPOC</v>
      </c>
      <c r="M495" t="str">
        <f>"84.99"</f>
        <v>84.99</v>
      </c>
      <c r="N495" t="str">
        <f>"17.51"</f>
        <v>17.51</v>
      </c>
      <c r="O495" t="str">
        <f>"NPOC:17.63mg/L TN:1.852mg/L"</f>
        <v>NPOC:17.63mg/L TN:1.852mg/L</v>
      </c>
      <c r="P495">
        <v>0</v>
      </c>
      <c r="Q495" t="str">
        <f>"80"</f>
        <v>80</v>
      </c>
    </row>
    <row r="496" spans="1:17" x14ac:dyDescent="0.2">
      <c r="A496" t="str">
        <f>"Unknown"</f>
        <v>Unknown</v>
      </c>
      <c r="B496" t="str">
        <f>"NPOC/TN"</f>
        <v>NPOC/TN</v>
      </c>
      <c r="C496" t="str">
        <f>"1078"</f>
        <v>1078</v>
      </c>
      <c r="D496" t="str">
        <f>"47"</f>
        <v>47</v>
      </c>
      <c r="E496" t="str">
        <f>"C:\TOC3201\Methods\Itamar\acid_sample.met"</f>
        <v>C:\TOC3201\Methods\Itamar\acid_sample.met</v>
      </c>
      <c r="F496" t="str">
        <f>"C:\TOC3201\CalCurves\Itamar\C_cal_100ppm_acid_laurel.2019_08_15_10_24_40.cal"</f>
        <v>C:\TOC3201\CalCurves\Itamar\C_cal_100ppm_acid_laurel.2019_08_15_10_24_40.cal</v>
      </c>
      <c r="G496">
        <v>1</v>
      </c>
      <c r="H496" t="str">
        <f>""</f>
        <v/>
      </c>
      <c r="I496" t="str">
        <f>"8/16/2019 9:58:49 AM"</f>
        <v>8/16/2019 9:58:49 AM</v>
      </c>
      <c r="J496" t="str">
        <f>"1"</f>
        <v>1</v>
      </c>
      <c r="K496" t="str">
        <f>"3"</f>
        <v>3</v>
      </c>
      <c r="L496" t="str">
        <f>"NPOC"</f>
        <v>NPOC</v>
      </c>
      <c r="M496" t="str">
        <f>"90.23"</f>
        <v>90.23</v>
      </c>
      <c r="N496" t="str">
        <f>"18.59"</f>
        <v>18.59</v>
      </c>
      <c r="O496" t="str">
        <f>"NPOC:17.63mg/L TN:1.852mg/L"</f>
        <v>NPOC:17.63mg/L TN:1.852mg/L</v>
      </c>
      <c r="P496">
        <v>1</v>
      </c>
      <c r="Q496" t="str">
        <f>"80"</f>
        <v>80</v>
      </c>
    </row>
    <row r="497" spans="1:17" x14ac:dyDescent="0.2">
      <c r="A497" t="str">
        <f>"Unknown"</f>
        <v>Unknown</v>
      </c>
      <c r="B497" t="str">
        <f>"NPOC/TN"</f>
        <v>NPOC/TN</v>
      </c>
      <c r="C497" t="str">
        <f>"1078"</f>
        <v>1078</v>
      </c>
      <c r="D497" t="str">
        <f>"47"</f>
        <v>47</v>
      </c>
      <c r="E497" t="str">
        <f>"C:\TOC3201\Methods\Itamar\acid_sample.met"</f>
        <v>C:\TOC3201\Methods\Itamar\acid_sample.met</v>
      </c>
      <c r="F497" t="str">
        <f>"C:\TOC3201\CalCurves\Itamar\C_cal_100ppm_acid_laurel.2019_08_15_10_24_40.cal"</f>
        <v>C:\TOC3201\CalCurves\Itamar\C_cal_100ppm_acid_laurel.2019_08_15_10_24_40.cal</v>
      </c>
      <c r="G497">
        <v>1</v>
      </c>
      <c r="H497" t="str">
        <f>""</f>
        <v/>
      </c>
      <c r="I497" t="str">
        <f>"8/16/2019 10:02:33 AM"</f>
        <v>8/16/2019 10:02:33 AM</v>
      </c>
      <c r="J497" t="str">
        <f>"1"</f>
        <v>1</v>
      </c>
      <c r="K497" t="str">
        <f>"4"</f>
        <v>4</v>
      </c>
      <c r="L497" t="str">
        <f>"NPOC"</f>
        <v>NPOC</v>
      </c>
      <c r="M497" t="str">
        <f>"89.28"</f>
        <v>89.28</v>
      </c>
      <c r="N497" t="str">
        <f>"18.39"</f>
        <v>18.39</v>
      </c>
      <c r="O497" t="str">
        <f>"NPOC:17.63mg/L TN:1.852mg/L"</f>
        <v>NPOC:17.63mg/L TN:1.852mg/L</v>
      </c>
      <c r="P497">
        <v>1</v>
      </c>
      <c r="Q497" t="str">
        <f>"80"</f>
        <v>80</v>
      </c>
    </row>
    <row r="498" spans="1:17" x14ac:dyDescent="0.2">
      <c r="A498" t="str">
        <f>"Unknown"</f>
        <v>Unknown</v>
      </c>
      <c r="B498" t="str">
        <f>"NPOC/TN"</f>
        <v>NPOC/TN</v>
      </c>
      <c r="C498" t="str">
        <f>"1078"</f>
        <v>1078</v>
      </c>
      <c r="D498" t="str">
        <f>"47"</f>
        <v>47</v>
      </c>
      <c r="E498" t="str">
        <f>"C:\TOC3201\Methods\Itamar\acid_sample.met"</f>
        <v>C:\TOC3201\Methods\Itamar\acid_sample.met</v>
      </c>
      <c r="F498" t="str">
        <f>"C:\TOC3201\CalCurves\Itamar\C_cal_100ppm_acid_laurel.2019_08_15_10_24_40.cal"</f>
        <v>C:\TOC3201\CalCurves\Itamar\C_cal_100ppm_acid_laurel.2019_08_15_10_24_40.cal</v>
      </c>
      <c r="G498">
        <v>1</v>
      </c>
      <c r="H498" t="str">
        <f>""</f>
        <v/>
      </c>
      <c r="I498" t="str">
        <f>"8/16/2019 10:06:18 AM"</f>
        <v>8/16/2019 10:06:18 AM</v>
      </c>
      <c r="J498" t="str">
        <f>"1"</f>
        <v>1</v>
      </c>
      <c r="K498" t="str">
        <f>"5"</f>
        <v>5</v>
      </c>
      <c r="L498" t="str">
        <f>"NPOC"</f>
        <v>NPOC</v>
      </c>
      <c r="M498" t="str">
        <f>"85.21"</f>
        <v>85.21</v>
      </c>
      <c r="N498" t="str">
        <f>"17.56"</f>
        <v>17.56</v>
      </c>
      <c r="O498" t="str">
        <f>"NPOC:17.63mg/L TN:1.852mg/L"</f>
        <v>NPOC:17.63mg/L TN:1.852mg/L</v>
      </c>
      <c r="P498">
        <v>0</v>
      </c>
      <c r="Q498" t="str">
        <f>"80"</f>
        <v>80</v>
      </c>
    </row>
    <row r="499" spans="1:17" x14ac:dyDescent="0.2">
      <c r="A499" t="str">
        <f>"Unknown"</f>
        <v>Unknown</v>
      </c>
      <c r="B499" t="str">
        <f>"NPOC/TN"</f>
        <v>NPOC/TN</v>
      </c>
      <c r="C499" t="str">
        <f>"1078"</f>
        <v>1078</v>
      </c>
      <c r="D499" t="str">
        <f>"47"</f>
        <v>47</v>
      </c>
      <c r="E499" t="str">
        <f>"C:\TOC3201\Methods\Itamar\acid_sample.met"</f>
        <v>C:\TOC3201\Methods\Itamar\acid_sample.met</v>
      </c>
      <c r="F499" t="str">
        <f>"C:\TOC3201\CalCurves\Itamar\N_cal_25ppm_acid_laurel.2019_08_15_12_20_41.cal"</f>
        <v>C:\TOC3201\CalCurves\Itamar\N_cal_25ppm_acid_laurel.2019_08_15_12_20_41.cal</v>
      </c>
      <c r="G499">
        <v>1</v>
      </c>
      <c r="H499" t="str">
        <f>""</f>
        <v/>
      </c>
      <c r="I499" t="str">
        <f>"8/16/2019 9:51:27 AM"</f>
        <v>8/16/2019 9:51:27 AM</v>
      </c>
      <c r="J499" t="str">
        <f>"1"</f>
        <v>1</v>
      </c>
      <c r="K499" t="str">
        <f>"1"</f>
        <v>1</v>
      </c>
      <c r="L499" t="str">
        <f>"TN"</f>
        <v>TN</v>
      </c>
      <c r="M499" t="str">
        <f>"6.776"</f>
        <v>6.776</v>
      </c>
      <c r="N499" t="str">
        <f>"1.887"</f>
        <v>1.887</v>
      </c>
      <c r="O499" t="str">
        <f>"NPOC:17.63mg/L TN:1.852mg/L"</f>
        <v>NPOC:17.63mg/L TN:1.852mg/L</v>
      </c>
      <c r="P499">
        <v>0</v>
      </c>
      <c r="Q499" t="str">
        <f>"80"</f>
        <v>80</v>
      </c>
    </row>
    <row r="500" spans="1:17" x14ac:dyDescent="0.2">
      <c r="A500" t="str">
        <f>"Unknown"</f>
        <v>Unknown</v>
      </c>
      <c r="B500" t="str">
        <f>"NPOC/TN"</f>
        <v>NPOC/TN</v>
      </c>
      <c r="C500" t="str">
        <f>"1078"</f>
        <v>1078</v>
      </c>
      <c r="D500" t="str">
        <f>"47"</f>
        <v>47</v>
      </c>
      <c r="E500" t="str">
        <f>"C:\TOC3201\Methods\Itamar\acid_sample.met"</f>
        <v>C:\TOC3201\Methods\Itamar\acid_sample.met</v>
      </c>
      <c r="F500" t="str">
        <f>"C:\TOC3201\CalCurves\Itamar\N_cal_25ppm_acid_laurel.2019_08_15_12_20_41.cal"</f>
        <v>C:\TOC3201\CalCurves\Itamar\N_cal_25ppm_acid_laurel.2019_08_15_12_20_41.cal</v>
      </c>
      <c r="G500">
        <v>1</v>
      </c>
      <c r="H500" t="str">
        <f>""</f>
        <v/>
      </c>
      <c r="I500" t="str">
        <f>"8/16/2019 9:55:00 AM"</f>
        <v>8/16/2019 9:55:00 AM</v>
      </c>
      <c r="J500" t="str">
        <f>"1"</f>
        <v>1</v>
      </c>
      <c r="K500" t="str">
        <f>"2"</f>
        <v>2</v>
      </c>
      <c r="L500" t="str">
        <f>"TN"</f>
        <v>TN</v>
      </c>
      <c r="M500" t="str">
        <f>"6.255"</f>
        <v>6.255</v>
      </c>
      <c r="N500" t="str">
        <f>"1.755"</f>
        <v>1.755</v>
      </c>
      <c r="O500" t="str">
        <f>"NPOC:17.63mg/L TN:1.852mg/L"</f>
        <v>NPOC:17.63mg/L TN:1.852mg/L</v>
      </c>
      <c r="P500">
        <v>1</v>
      </c>
      <c r="Q500" t="str">
        <f>"80"</f>
        <v>80</v>
      </c>
    </row>
    <row r="501" spans="1:17" x14ac:dyDescent="0.2">
      <c r="A501" t="str">
        <f>"Unknown"</f>
        <v>Unknown</v>
      </c>
      <c r="B501" t="str">
        <f>"NPOC/TN"</f>
        <v>NPOC/TN</v>
      </c>
      <c r="C501" t="str">
        <f>"1078"</f>
        <v>1078</v>
      </c>
      <c r="D501" t="str">
        <f>"47"</f>
        <v>47</v>
      </c>
      <c r="E501" t="str">
        <f>"C:\TOC3201\Methods\Itamar\acid_sample.met"</f>
        <v>C:\TOC3201\Methods\Itamar\acid_sample.met</v>
      </c>
      <c r="F501" t="str">
        <f>"C:\TOC3201\CalCurves\Itamar\N_cal_25ppm_acid_laurel.2019_08_15_12_20_41.cal"</f>
        <v>C:\TOC3201\CalCurves\Itamar\N_cal_25ppm_acid_laurel.2019_08_15_12_20_41.cal</v>
      </c>
      <c r="G501">
        <v>1</v>
      </c>
      <c r="H501" t="str">
        <f>""</f>
        <v/>
      </c>
      <c r="I501" t="str">
        <f>"8/16/2019 9:58:49 AM"</f>
        <v>8/16/2019 9:58:49 AM</v>
      </c>
      <c r="J501" t="str">
        <f>"1"</f>
        <v>1</v>
      </c>
      <c r="K501" t="str">
        <f>"3"</f>
        <v>3</v>
      </c>
      <c r="L501" t="str">
        <f>"TN"</f>
        <v>TN</v>
      </c>
      <c r="M501" t="str">
        <f>"6.932"</f>
        <v>6.932</v>
      </c>
      <c r="N501" t="str">
        <f>"1.927"</f>
        <v>1.927</v>
      </c>
      <c r="O501" t="str">
        <f>"NPOC:17.63mg/L TN:1.852mg/L"</f>
        <v>NPOC:17.63mg/L TN:1.852mg/L</v>
      </c>
      <c r="P501">
        <v>1</v>
      </c>
      <c r="Q501" t="str">
        <f>"80"</f>
        <v>80</v>
      </c>
    </row>
    <row r="502" spans="1:17" x14ac:dyDescent="0.2">
      <c r="A502" t="str">
        <f>"Unknown"</f>
        <v>Unknown</v>
      </c>
      <c r="B502" t="str">
        <f>"NPOC/TN"</f>
        <v>NPOC/TN</v>
      </c>
      <c r="C502" t="str">
        <f>"1078"</f>
        <v>1078</v>
      </c>
      <c r="D502" t="str">
        <f>"47"</f>
        <v>47</v>
      </c>
      <c r="E502" t="str">
        <f>"C:\TOC3201\Methods\Itamar\acid_sample.met"</f>
        <v>C:\TOC3201\Methods\Itamar\acid_sample.met</v>
      </c>
      <c r="F502" t="str">
        <f>"C:\TOC3201\CalCurves\Itamar\N_cal_25ppm_acid_laurel.2019_08_15_12_20_41.cal"</f>
        <v>C:\TOC3201\CalCurves\Itamar\N_cal_25ppm_acid_laurel.2019_08_15_12_20_41.cal</v>
      </c>
      <c r="G502">
        <v>1</v>
      </c>
      <c r="H502" t="str">
        <f>""</f>
        <v/>
      </c>
      <c r="I502" t="str">
        <f>"8/16/2019 10:02:33 AM"</f>
        <v>8/16/2019 10:02:33 AM</v>
      </c>
      <c r="J502" t="str">
        <f>"1"</f>
        <v>1</v>
      </c>
      <c r="K502" t="str">
        <f>"4"</f>
        <v>4</v>
      </c>
      <c r="L502" t="str">
        <f>"TN"</f>
        <v>TN</v>
      </c>
      <c r="M502" t="str">
        <f>"6.600"</f>
        <v>6.600</v>
      </c>
      <c r="N502" t="str">
        <f>"1.843"</f>
        <v>1.843</v>
      </c>
      <c r="O502" t="str">
        <f>"NPOC:17.63mg/L TN:1.852mg/L"</f>
        <v>NPOC:17.63mg/L TN:1.852mg/L</v>
      </c>
      <c r="P502">
        <v>0</v>
      </c>
      <c r="Q502" t="str">
        <f>"80"</f>
        <v>80</v>
      </c>
    </row>
    <row r="503" spans="1:17" x14ac:dyDescent="0.2">
      <c r="A503" t="str">
        <f>"Unknown"</f>
        <v>Unknown</v>
      </c>
      <c r="B503" t="str">
        <f>"NPOC/TN"</f>
        <v>NPOC/TN</v>
      </c>
      <c r="C503" t="str">
        <f>"1078"</f>
        <v>1078</v>
      </c>
      <c r="D503" t="str">
        <f>"47"</f>
        <v>47</v>
      </c>
      <c r="E503" t="str">
        <f>"C:\TOC3201\Methods\Itamar\acid_sample.met"</f>
        <v>C:\TOC3201\Methods\Itamar\acid_sample.met</v>
      </c>
      <c r="F503" t="str">
        <f>"C:\TOC3201\CalCurves\Itamar\N_cal_25ppm_acid_laurel.2019_08_15_12_20_41.cal"</f>
        <v>C:\TOC3201\CalCurves\Itamar\N_cal_25ppm_acid_laurel.2019_08_15_12_20_41.cal</v>
      </c>
      <c r="G503">
        <v>1</v>
      </c>
      <c r="H503" t="str">
        <f>""</f>
        <v/>
      </c>
      <c r="I503" t="str">
        <f>"8/16/2019 10:06:18 AM"</f>
        <v>8/16/2019 10:06:18 AM</v>
      </c>
      <c r="J503" t="str">
        <f>"1"</f>
        <v>1</v>
      </c>
      <c r="K503" t="str">
        <f>"5"</f>
        <v>5</v>
      </c>
      <c r="L503" t="str">
        <f>"TN"</f>
        <v>TN</v>
      </c>
      <c r="M503" t="str">
        <f>"6.532"</f>
        <v>6.532</v>
      </c>
      <c r="N503" t="str">
        <f>"1.825"</f>
        <v>1.825</v>
      </c>
      <c r="O503" t="str">
        <f>"NPOC:17.63mg/L TN:1.852mg/L"</f>
        <v>NPOC:17.63mg/L TN:1.852mg/L</v>
      </c>
      <c r="P503">
        <v>0</v>
      </c>
      <c r="Q503" t="str">
        <f>"80"</f>
        <v>80</v>
      </c>
    </row>
    <row r="504" spans="1:17" x14ac:dyDescent="0.2">
      <c r="A504" t="str">
        <f>"Unknown"</f>
        <v>Unknown</v>
      </c>
      <c r="B504" t="str">
        <f>"NPOC/TN"</f>
        <v>NPOC/TN</v>
      </c>
      <c r="C504" t="str">
        <f>"1080"</f>
        <v>1080</v>
      </c>
      <c r="D504" t="str">
        <f>"48"</f>
        <v>48</v>
      </c>
      <c r="E504" t="str">
        <f>"C:\TOC3201\Methods\Itamar\acid_sample.met"</f>
        <v>C:\TOC3201\Methods\Itamar\acid_sample.met</v>
      </c>
      <c r="F504" t="str">
        <f>"C:\TOC3201\CalCurves\Itamar\C_cal_100ppm_acid_laurel.2019_08_15_10_24_40.cal"</f>
        <v>C:\TOC3201\CalCurves\Itamar\C_cal_100ppm_acid_laurel.2019_08_15_10_24_40.cal</v>
      </c>
      <c r="G504">
        <v>1</v>
      </c>
      <c r="H504" t="str">
        <f>""</f>
        <v/>
      </c>
      <c r="I504" t="str">
        <f>"8/16/2019 10:16:48 AM"</f>
        <v>8/16/2019 10:16:48 AM</v>
      </c>
      <c r="J504" t="str">
        <f>"1"</f>
        <v>1</v>
      </c>
      <c r="K504" t="str">
        <f>"1"</f>
        <v>1</v>
      </c>
      <c r="L504" t="str">
        <f>"NPOC"</f>
        <v>NPOC</v>
      </c>
      <c r="M504" t="str">
        <f>"91.02"</f>
        <v>91.02</v>
      </c>
      <c r="N504" t="str">
        <f>"18.75"</f>
        <v>18.75</v>
      </c>
      <c r="O504" t="str">
        <f>"NPOC:18.93mg/L TN:1.898mg/L"</f>
        <v>NPOC:18.93mg/L TN:1.898mg/L</v>
      </c>
      <c r="P504">
        <v>0</v>
      </c>
      <c r="Q504" t="str">
        <f>"80"</f>
        <v>80</v>
      </c>
    </row>
    <row r="505" spans="1:17" x14ac:dyDescent="0.2">
      <c r="A505" t="str">
        <f>"Unknown"</f>
        <v>Unknown</v>
      </c>
      <c r="B505" t="str">
        <f>"NPOC/TN"</f>
        <v>NPOC/TN</v>
      </c>
      <c r="C505" t="str">
        <f>"1080"</f>
        <v>1080</v>
      </c>
      <c r="D505" t="str">
        <f>"48"</f>
        <v>48</v>
      </c>
      <c r="E505" t="str">
        <f>"C:\TOC3201\Methods\Itamar\acid_sample.met"</f>
        <v>C:\TOC3201\Methods\Itamar\acid_sample.met</v>
      </c>
      <c r="F505" t="str">
        <f>"C:\TOC3201\CalCurves\Itamar\C_cal_100ppm_acid_laurel.2019_08_15_10_24_40.cal"</f>
        <v>C:\TOC3201\CalCurves\Itamar\C_cal_100ppm_acid_laurel.2019_08_15_10_24_40.cal</v>
      </c>
      <c r="G505">
        <v>1</v>
      </c>
      <c r="H505" t="str">
        <f>""</f>
        <v/>
      </c>
      <c r="I505" t="str">
        <f>"8/16/2019 10:20:33 AM"</f>
        <v>8/16/2019 10:20:33 AM</v>
      </c>
      <c r="J505" t="str">
        <f>"1"</f>
        <v>1</v>
      </c>
      <c r="K505" t="str">
        <f>"2"</f>
        <v>2</v>
      </c>
      <c r="L505" t="str">
        <f>"NPOC"</f>
        <v>NPOC</v>
      </c>
      <c r="M505" t="str">
        <f>"86.90"</f>
        <v>86.90</v>
      </c>
      <c r="N505" t="str">
        <f>"17.90"</f>
        <v>17.90</v>
      </c>
      <c r="O505" t="str">
        <f>"NPOC:18.93mg/L TN:1.898mg/L"</f>
        <v>NPOC:18.93mg/L TN:1.898mg/L</v>
      </c>
      <c r="P505">
        <v>1</v>
      </c>
      <c r="Q505" t="str">
        <f>"80"</f>
        <v>80</v>
      </c>
    </row>
    <row r="506" spans="1:17" x14ac:dyDescent="0.2">
      <c r="A506" t="str">
        <f>"Unknown"</f>
        <v>Unknown</v>
      </c>
      <c r="B506" t="str">
        <f>"NPOC/TN"</f>
        <v>NPOC/TN</v>
      </c>
      <c r="C506" t="str">
        <f>"1080"</f>
        <v>1080</v>
      </c>
      <c r="D506" t="str">
        <f>"48"</f>
        <v>48</v>
      </c>
      <c r="E506" t="str">
        <f>"C:\TOC3201\Methods\Itamar\acid_sample.met"</f>
        <v>C:\TOC3201\Methods\Itamar\acid_sample.met</v>
      </c>
      <c r="F506" t="str">
        <f>"C:\TOC3201\CalCurves\Itamar\C_cal_100ppm_acid_laurel.2019_08_15_10_24_40.cal"</f>
        <v>C:\TOC3201\CalCurves\Itamar\C_cal_100ppm_acid_laurel.2019_08_15_10_24_40.cal</v>
      </c>
      <c r="G506">
        <v>1</v>
      </c>
      <c r="H506" t="str">
        <f>""</f>
        <v/>
      </c>
      <c r="I506" t="str">
        <f>"8/16/2019 10:24:29 AM"</f>
        <v>8/16/2019 10:24:29 AM</v>
      </c>
      <c r="J506" t="str">
        <f>"1"</f>
        <v>1</v>
      </c>
      <c r="K506" t="str">
        <f>"3"</f>
        <v>3</v>
      </c>
      <c r="L506" t="str">
        <f>"NPOC"</f>
        <v>NPOC</v>
      </c>
      <c r="M506" t="str">
        <f>"92.87"</f>
        <v>92.87</v>
      </c>
      <c r="N506" t="str">
        <f>"19.13"</f>
        <v>19.13</v>
      </c>
      <c r="O506" t="str">
        <f>"NPOC:18.93mg/L TN:1.898mg/L"</f>
        <v>NPOC:18.93mg/L TN:1.898mg/L</v>
      </c>
      <c r="P506">
        <v>0</v>
      </c>
      <c r="Q506" t="str">
        <f>"80"</f>
        <v>80</v>
      </c>
    </row>
    <row r="507" spans="1:17" x14ac:dyDescent="0.2">
      <c r="A507" t="str">
        <f>"Unknown"</f>
        <v>Unknown</v>
      </c>
      <c r="B507" t="str">
        <f>"NPOC/TN"</f>
        <v>NPOC/TN</v>
      </c>
      <c r="C507" t="str">
        <f>"1080"</f>
        <v>1080</v>
      </c>
      <c r="D507" t="str">
        <f>"48"</f>
        <v>48</v>
      </c>
      <c r="E507" t="str">
        <f>"C:\TOC3201\Methods\Itamar\acid_sample.met"</f>
        <v>C:\TOC3201\Methods\Itamar\acid_sample.met</v>
      </c>
      <c r="F507" t="str">
        <f>"C:\TOC3201\CalCurves\Itamar\C_cal_100ppm_acid_laurel.2019_08_15_10_24_40.cal"</f>
        <v>C:\TOC3201\CalCurves\Itamar\C_cal_100ppm_acid_laurel.2019_08_15_10_24_40.cal</v>
      </c>
      <c r="G507">
        <v>1</v>
      </c>
      <c r="H507" t="str">
        <f>""</f>
        <v/>
      </c>
      <c r="I507" t="str">
        <f>"8/16/2019 10:28:29 AM"</f>
        <v>8/16/2019 10:28:29 AM</v>
      </c>
      <c r="J507" t="str">
        <f>"1"</f>
        <v>1</v>
      </c>
      <c r="K507" t="str">
        <f>"4"</f>
        <v>4</v>
      </c>
      <c r="L507" t="str">
        <f>"NPOC"</f>
        <v>NPOC</v>
      </c>
      <c r="M507" t="str">
        <f>"91.85"</f>
        <v>91.85</v>
      </c>
      <c r="N507" t="str">
        <f>"18.92"</f>
        <v>18.92</v>
      </c>
      <c r="O507" t="str">
        <f>"NPOC:18.93mg/L TN:1.898mg/L"</f>
        <v>NPOC:18.93mg/L TN:1.898mg/L</v>
      </c>
      <c r="P507">
        <v>0</v>
      </c>
      <c r="Q507" t="str">
        <f>"80"</f>
        <v>80</v>
      </c>
    </row>
    <row r="508" spans="1:17" x14ac:dyDescent="0.2">
      <c r="A508" t="str">
        <f>"Unknown"</f>
        <v>Unknown</v>
      </c>
      <c r="B508" t="str">
        <f>"NPOC/TN"</f>
        <v>NPOC/TN</v>
      </c>
      <c r="C508" t="str">
        <f>"1080"</f>
        <v>1080</v>
      </c>
      <c r="D508" t="str">
        <f>"48"</f>
        <v>48</v>
      </c>
      <c r="E508" t="str">
        <f>"C:\TOC3201\Methods\Itamar\acid_sample.met"</f>
        <v>C:\TOC3201\Methods\Itamar\acid_sample.met</v>
      </c>
      <c r="F508" t="str">
        <f>"C:\TOC3201\CalCurves\Itamar\N_cal_25ppm_acid_laurel.2019_08_15_12_20_41.cal"</f>
        <v>C:\TOC3201\CalCurves\Itamar\N_cal_25ppm_acid_laurel.2019_08_15_12_20_41.cal</v>
      </c>
      <c r="G508">
        <v>1</v>
      </c>
      <c r="H508" t="str">
        <f>""</f>
        <v/>
      </c>
      <c r="I508" t="str">
        <f>"8/16/2019 10:16:48 AM"</f>
        <v>8/16/2019 10:16:48 AM</v>
      </c>
      <c r="J508" t="str">
        <f>"1"</f>
        <v>1</v>
      </c>
      <c r="K508" t="str">
        <f>"1"</f>
        <v>1</v>
      </c>
      <c r="L508" t="str">
        <f>"TN"</f>
        <v>TN</v>
      </c>
      <c r="M508" t="str">
        <f>"6.805"</f>
        <v>6.805</v>
      </c>
      <c r="N508" t="str">
        <f>"1.895"</f>
        <v>1.895</v>
      </c>
      <c r="O508" t="str">
        <f>"NPOC:18.93mg/L TN:1.898mg/L"</f>
        <v>NPOC:18.93mg/L TN:1.898mg/L</v>
      </c>
      <c r="P508">
        <v>0</v>
      </c>
      <c r="Q508" t="str">
        <f>"80"</f>
        <v>80</v>
      </c>
    </row>
    <row r="509" spans="1:17" x14ac:dyDescent="0.2">
      <c r="A509" t="str">
        <f>"Unknown"</f>
        <v>Unknown</v>
      </c>
      <c r="B509" t="str">
        <f>"NPOC/TN"</f>
        <v>NPOC/TN</v>
      </c>
      <c r="C509" t="str">
        <f>"1080"</f>
        <v>1080</v>
      </c>
      <c r="D509" t="str">
        <f>"48"</f>
        <v>48</v>
      </c>
      <c r="E509" t="str">
        <f>"C:\TOC3201\Methods\Itamar\acid_sample.met"</f>
        <v>C:\TOC3201\Methods\Itamar\acid_sample.met</v>
      </c>
      <c r="F509" t="str">
        <f>"C:\TOC3201\CalCurves\Itamar\N_cal_25ppm_acid_laurel.2019_08_15_12_20_41.cal"</f>
        <v>C:\TOC3201\CalCurves\Itamar\N_cal_25ppm_acid_laurel.2019_08_15_12_20_41.cal</v>
      </c>
      <c r="G509">
        <v>1</v>
      </c>
      <c r="H509" t="str">
        <f>""</f>
        <v/>
      </c>
      <c r="I509" t="str">
        <f>"8/16/2019 10:20:33 AM"</f>
        <v>8/16/2019 10:20:33 AM</v>
      </c>
      <c r="J509" t="str">
        <f>"1"</f>
        <v>1</v>
      </c>
      <c r="K509" t="str">
        <f>"2"</f>
        <v>2</v>
      </c>
      <c r="L509" t="str">
        <f>"TN"</f>
        <v>TN</v>
      </c>
      <c r="M509" t="str">
        <f>"6.831"</f>
        <v>6.831</v>
      </c>
      <c r="N509" t="str">
        <f>"1.901"</f>
        <v>1.901</v>
      </c>
      <c r="O509" t="str">
        <f>"NPOC:18.93mg/L TN:1.898mg/L"</f>
        <v>NPOC:18.93mg/L TN:1.898mg/L</v>
      </c>
      <c r="P509">
        <v>0</v>
      </c>
      <c r="Q509" t="str">
        <f>"80"</f>
        <v>80</v>
      </c>
    </row>
    <row r="510" spans="1:17" x14ac:dyDescent="0.2">
      <c r="A510" t="str">
        <f>"Unknown"</f>
        <v>Unknown</v>
      </c>
      <c r="B510" t="str">
        <f>"NPOC/TN"</f>
        <v>NPOC/TN</v>
      </c>
      <c r="C510" t="str">
        <f>"1080"</f>
        <v>1080</v>
      </c>
      <c r="D510" t="str">
        <f>"48"</f>
        <v>48</v>
      </c>
      <c r="E510" t="str">
        <f>"C:\TOC3201\Methods\Itamar\acid_sample.met"</f>
        <v>C:\TOC3201\Methods\Itamar\acid_sample.met</v>
      </c>
      <c r="F510" t="str">
        <f>"C:\TOC3201\CalCurves\Itamar\N_cal_25ppm_acid_laurel.2019_08_15_12_20_41.cal"</f>
        <v>C:\TOC3201\CalCurves\Itamar\N_cal_25ppm_acid_laurel.2019_08_15_12_20_41.cal</v>
      </c>
      <c r="G510">
        <v>1</v>
      </c>
      <c r="H510" t="str">
        <f>""</f>
        <v/>
      </c>
      <c r="I510" t="str">
        <f>"8/16/2019 10:24:29 AM"</f>
        <v>8/16/2019 10:24:29 AM</v>
      </c>
      <c r="J510" t="str">
        <f>"1"</f>
        <v>1</v>
      </c>
      <c r="K510" t="str">
        <f>"3"</f>
        <v>3</v>
      </c>
      <c r="L510" t="str">
        <f>"TN"</f>
        <v>TN</v>
      </c>
      <c r="M510" t="str">
        <f>"6.819"</f>
        <v>6.819</v>
      </c>
      <c r="N510" t="str">
        <f>"1.898"</f>
        <v>1.898</v>
      </c>
      <c r="O510" t="str">
        <f>"NPOC:18.93mg/L TN:1.898mg/L"</f>
        <v>NPOC:18.93mg/L TN:1.898mg/L</v>
      </c>
      <c r="P510">
        <v>0</v>
      </c>
      <c r="Q510" t="str">
        <f>"80"</f>
        <v>80</v>
      </c>
    </row>
    <row r="511" spans="1:17" x14ac:dyDescent="0.2">
      <c r="A511" t="str">
        <f>"Unknown"</f>
        <v>Unknown</v>
      </c>
      <c r="B511" t="str">
        <f>"NPOC/TN"</f>
        <v>NPOC/TN</v>
      </c>
      <c r="C511" t="str">
        <f>"1082"</f>
        <v>1082</v>
      </c>
      <c r="D511" t="str">
        <f>"49"</f>
        <v>49</v>
      </c>
      <c r="E511" t="str">
        <f>"C:\TOC3201\Methods\Itamar\acid_sample.met"</f>
        <v>C:\TOC3201\Methods\Itamar\acid_sample.met</v>
      </c>
      <c r="F511" t="str">
        <f>"C:\TOC3201\CalCurves\Itamar\C_cal_100ppm_acid_laurel.2019_08_15_10_24_40.cal"</f>
        <v>C:\TOC3201\CalCurves\Itamar\C_cal_100ppm_acid_laurel.2019_08_15_10_24_40.cal</v>
      </c>
      <c r="G511">
        <v>1</v>
      </c>
      <c r="H511" t="str">
        <f>""</f>
        <v/>
      </c>
      <c r="I511" t="str">
        <f>"8/16/2019 10:38:57 AM"</f>
        <v>8/16/2019 10:38:57 AM</v>
      </c>
      <c r="J511" t="str">
        <f>"1"</f>
        <v>1</v>
      </c>
      <c r="K511" t="str">
        <f>"1"</f>
        <v>1</v>
      </c>
      <c r="L511" t="str">
        <f>"NPOC"</f>
        <v>NPOC</v>
      </c>
      <c r="M511" t="str">
        <f>"212.8"</f>
        <v>212.8</v>
      </c>
      <c r="N511" t="str">
        <f>"43.76"</f>
        <v>43.76</v>
      </c>
      <c r="O511" t="str">
        <f>"NPOC:43.64mg/L TN:8.879mg/L"</f>
        <v>NPOC:43.64mg/L TN:8.879mg/L</v>
      </c>
      <c r="P511">
        <v>0</v>
      </c>
      <c r="Q511" t="str">
        <f>"80"</f>
        <v>80</v>
      </c>
    </row>
    <row r="512" spans="1:17" x14ac:dyDescent="0.2">
      <c r="A512" t="str">
        <f>"Unknown"</f>
        <v>Unknown</v>
      </c>
      <c r="B512" t="str">
        <f>"NPOC/TN"</f>
        <v>NPOC/TN</v>
      </c>
      <c r="C512" t="str">
        <f>"1082"</f>
        <v>1082</v>
      </c>
      <c r="D512" t="str">
        <f>"49"</f>
        <v>49</v>
      </c>
      <c r="E512" t="str">
        <f>"C:\TOC3201\Methods\Itamar\acid_sample.met"</f>
        <v>C:\TOC3201\Methods\Itamar\acid_sample.met</v>
      </c>
      <c r="F512" t="str">
        <f>"C:\TOC3201\CalCurves\Itamar\C_cal_100ppm_acid_laurel.2019_08_15_10_24_40.cal"</f>
        <v>C:\TOC3201\CalCurves\Itamar\C_cal_100ppm_acid_laurel.2019_08_15_10_24_40.cal</v>
      </c>
      <c r="G512">
        <v>1</v>
      </c>
      <c r="H512" t="str">
        <f>""</f>
        <v/>
      </c>
      <c r="I512" t="str">
        <f>"8/16/2019 10:42:47 AM"</f>
        <v>8/16/2019 10:42:47 AM</v>
      </c>
      <c r="J512" t="str">
        <f>"1"</f>
        <v>1</v>
      </c>
      <c r="K512" t="str">
        <f>"2"</f>
        <v>2</v>
      </c>
      <c r="L512" t="str">
        <f>"NPOC"</f>
        <v>NPOC</v>
      </c>
      <c r="M512" t="str">
        <f>"208.8"</f>
        <v>208.8</v>
      </c>
      <c r="N512" t="str">
        <f>"42.94"</f>
        <v>42.94</v>
      </c>
      <c r="O512" t="str">
        <f>"NPOC:43.64mg/L TN:8.879mg/L"</f>
        <v>NPOC:43.64mg/L TN:8.879mg/L</v>
      </c>
      <c r="P512">
        <v>0</v>
      </c>
      <c r="Q512" t="str">
        <f>"80"</f>
        <v>80</v>
      </c>
    </row>
    <row r="513" spans="1:17" x14ac:dyDescent="0.2">
      <c r="A513" t="str">
        <f>"Unknown"</f>
        <v>Unknown</v>
      </c>
      <c r="B513" t="str">
        <f>"NPOC/TN"</f>
        <v>NPOC/TN</v>
      </c>
      <c r="C513" t="str">
        <f>"1082"</f>
        <v>1082</v>
      </c>
      <c r="D513" t="str">
        <f>"49"</f>
        <v>49</v>
      </c>
      <c r="E513" t="str">
        <f>"C:\TOC3201\Methods\Itamar\acid_sample.met"</f>
        <v>C:\TOC3201\Methods\Itamar\acid_sample.met</v>
      </c>
      <c r="F513" t="str">
        <f>"C:\TOC3201\CalCurves\Itamar\C_cal_100ppm_acid_laurel.2019_08_15_10_24_40.cal"</f>
        <v>C:\TOC3201\CalCurves\Itamar\C_cal_100ppm_acid_laurel.2019_08_15_10_24_40.cal</v>
      </c>
      <c r="G513">
        <v>1</v>
      </c>
      <c r="H513" t="str">
        <f>""</f>
        <v/>
      </c>
      <c r="I513" t="str">
        <f>"8/16/2019 10:46:38 AM"</f>
        <v>8/16/2019 10:46:38 AM</v>
      </c>
      <c r="J513" t="str">
        <f>"1"</f>
        <v>1</v>
      </c>
      <c r="K513" t="str">
        <f>"3"</f>
        <v>3</v>
      </c>
      <c r="L513" t="str">
        <f>"NPOC"</f>
        <v>NPOC</v>
      </c>
      <c r="M513" t="str">
        <f>"220.0"</f>
        <v>220.0</v>
      </c>
      <c r="N513" t="str">
        <f>"45.24"</f>
        <v>45.24</v>
      </c>
      <c r="O513" t="str">
        <f>"NPOC:43.64mg/L TN:8.879mg/L"</f>
        <v>NPOC:43.64mg/L TN:8.879mg/L</v>
      </c>
      <c r="P513">
        <v>1</v>
      </c>
      <c r="Q513" t="str">
        <f>"80"</f>
        <v>80</v>
      </c>
    </row>
    <row r="514" spans="1:17" x14ac:dyDescent="0.2">
      <c r="A514" t="str">
        <f>"Unknown"</f>
        <v>Unknown</v>
      </c>
      <c r="B514" t="str">
        <f>"NPOC/TN"</f>
        <v>NPOC/TN</v>
      </c>
      <c r="C514" t="str">
        <f>"1082"</f>
        <v>1082</v>
      </c>
      <c r="D514" t="str">
        <f>"49"</f>
        <v>49</v>
      </c>
      <c r="E514" t="str">
        <f>"C:\TOC3201\Methods\Itamar\acid_sample.met"</f>
        <v>C:\TOC3201\Methods\Itamar\acid_sample.met</v>
      </c>
      <c r="F514" t="str">
        <f>"C:\TOC3201\CalCurves\Itamar\C_cal_100ppm_acid_laurel.2019_08_15_10_24_40.cal"</f>
        <v>C:\TOC3201\CalCurves\Itamar\C_cal_100ppm_acid_laurel.2019_08_15_10_24_40.cal</v>
      </c>
      <c r="G514">
        <v>1</v>
      </c>
      <c r="H514" t="str">
        <f>""</f>
        <v/>
      </c>
      <c r="I514" t="str">
        <f>"8/16/2019 10:51:48 AM"</f>
        <v>8/16/2019 10:51:48 AM</v>
      </c>
      <c r="J514" t="str">
        <f>"1"</f>
        <v>1</v>
      </c>
      <c r="K514" t="str">
        <f>"4"</f>
        <v>4</v>
      </c>
      <c r="L514" t="str">
        <f>"NPOC"</f>
        <v>NPOC</v>
      </c>
      <c r="M514" t="str">
        <f>"215.0"</f>
        <v>215.0</v>
      </c>
      <c r="N514" t="str">
        <f>"44.21"</f>
        <v>44.21</v>
      </c>
      <c r="O514" t="str">
        <f>"NPOC:43.64mg/L TN:8.879mg/L"</f>
        <v>NPOC:43.64mg/L TN:8.879mg/L</v>
      </c>
      <c r="P514">
        <v>0</v>
      </c>
      <c r="Q514" t="str">
        <f>"80"</f>
        <v>80</v>
      </c>
    </row>
    <row r="515" spans="1:17" x14ac:dyDescent="0.2">
      <c r="A515" t="str">
        <f>"Unknown"</f>
        <v>Unknown</v>
      </c>
      <c r="B515" t="str">
        <f>"NPOC/TN"</f>
        <v>NPOC/TN</v>
      </c>
      <c r="C515" t="str">
        <f>"1082"</f>
        <v>1082</v>
      </c>
      <c r="D515" t="str">
        <f>"49"</f>
        <v>49</v>
      </c>
      <c r="E515" t="str">
        <f>"C:\TOC3201\Methods\Itamar\acid_sample.met"</f>
        <v>C:\TOC3201\Methods\Itamar\acid_sample.met</v>
      </c>
      <c r="F515" t="str">
        <f>"C:\TOC3201\CalCurves\Itamar\N_cal_25ppm_acid_laurel.2019_08_15_12_20_41.cal"</f>
        <v>C:\TOC3201\CalCurves\Itamar\N_cal_25ppm_acid_laurel.2019_08_15_12_20_41.cal</v>
      </c>
      <c r="G515">
        <v>1</v>
      </c>
      <c r="H515" t="str">
        <f>""</f>
        <v/>
      </c>
      <c r="I515" t="str">
        <f>"8/16/2019 10:38:57 AM"</f>
        <v>8/16/2019 10:38:57 AM</v>
      </c>
      <c r="J515" t="str">
        <f>"1"</f>
        <v>1</v>
      </c>
      <c r="K515" t="str">
        <f>"1"</f>
        <v>1</v>
      </c>
      <c r="L515" t="str">
        <f>"TN"</f>
        <v>TN</v>
      </c>
      <c r="M515" t="str">
        <f>"34.63"</f>
        <v>34.63</v>
      </c>
      <c r="N515" t="str">
        <f>"8.985"</f>
        <v>8.985</v>
      </c>
      <c r="O515" t="str">
        <f>"NPOC:43.64mg/L TN:8.879mg/L"</f>
        <v>NPOC:43.64mg/L TN:8.879mg/L</v>
      </c>
      <c r="P515">
        <v>0</v>
      </c>
      <c r="Q515" t="str">
        <f>"80"</f>
        <v>80</v>
      </c>
    </row>
    <row r="516" spans="1:17" x14ac:dyDescent="0.2">
      <c r="A516" t="str">
        <f>"Unknown"</f>
        <v>Unknown</v>
      </c>
      <c r="B516" t="str">
        <f>"NPOC/TN"</f>
        <v>NPOC/TN</v>
      </c>
      <c r="C516" t="str">
        <f>"1082"</f>
        <v>1082</v>
      </c>
      <c r="D516" t="str">
        <f>"49"</f>
        <v>49</v>
      </c>
      <c r="E516" t="str">
        <f>"C:\TOC3201\Methods\Itamar\acid_sample.met"</f>
        <v>C:\TOC3201\Methods\Itamar\acid_sample.met</v>
      </c>
      <c r="F516" t="str">
        <f>"C:\TOC3201\CalCurves\Itamar\N_cal_25ppm_acid_laurel.2019_08_15_12_20_41.cal"</f>
        <v>C:\TOC3201\CalCurves\Itamar\N_cal_25ppm_acid_laurel.2019_08_15_12_20_41.cal</v>
      </c>
      <c r="G516">
        <v>1</v>
      </c>
      <c r="H516" t="str">
        <f>""</f>
        <v/>
      </c>
      <c r="I516" t="str">
        <f>"8/16/2019 10:42:47 AM"</f>
        <v>8/16/2019 10:42:47 AM</v>
      </c>
      <c r="J516" t="str">
        <f>"1"</f>
        <v>1</v>
      </c>
      <c r="K516" t="str">
        <f>"2"</f>
        <v>2</v>
      </c>
      <c r="L516" t="str">
        <f>"TN"</f>
        <v>TN</v>
      </c>
      <c r="M516" t="str">
        <f>"34.06"</f>
        <v>34.06</v>
      </c>
      <c r="N516" t="str">
        <f>"8.839"</f>
        <v>8.839</v>
      </c>
      <c r="O516" t="str">
        <f>"NPOC:43.64mg/L TN:8.879mg/L"</f>
        <v>NPOC:43.64mg/L TN:8.879mg/L</v>
      </c>
      <c r="P516">
        <v>0</v>
      </c>
      <c r="Q516" t="str">
        <f>"80"</f>
        <v>80</v>
      </c>
    </row>
    <row r="517" spans="1:17" x14ac:dyDescent="0.2">
      <c r="A517" t="str">
        <f>"Unknown"</f>
        <v>Unknown</v>
      </c>
      <c r="B517" t="str">
        <f>"NPOC/TN"</f>
        <v>NPOC/TN</v>
      </c>
      <c r="C517" t="str">
        <f>"1082"</f>
        <v>1082</v>
      </c>
      <c r="D517" t="str">
        <f>"49"</f>
        <v>49</v>
      </c>
      <c r="E517" t="str">
        <f>"C:\TOC3201\Methods\Itamar\acid_sample.met"</f>
        <v>C:\TOC3201\Methods\Itamar\acid_sample.met</v>
      </c>
      <c r="F517" t="str">
        <f>"C:\TOC3201\CalCurves\Itamar\N_cal_25ppm_acid_laurel.2019_08_15_12_20_41.cal"</f>
        <v>C:\TOC3201\CalCurves\Itamar\N_cal_25ppm_acid_laurel.2019_08_15_12_20_41.cal</v>
      </c>
      <c r="G517">
        <v>1</v>
      </c>
      <c r="H517" t="str">
        <f>""</f>
        <v/>
      </c>
      <c r="I517" t="str">
        <f>"8/16/2019 10:46:38 AM"</f>
        <v>8/16/2019 10:46:38 AM</v>
      </c>
      <c r="J517" t="str">
        <f>"1"</f>
        <v>1</v>
      </c>
      <c r="K517" t="str">
        <f>"3"</f>
        <v>3</v>
      </c>
      <c r="L517" t="str">
        <f>"TN"</f>
        <v>TN</v>
      </c>
      <c r="M517" t="str">
        <f>"36.04"</f>
        <v>36.04</v>
      </c>
      <c r="N517" t="str">
        <f>"9.344"</f>
        <v>9.344</v>
      </c>
      <c r="O517" t="str">
        <f>"NPOC:43.64mg/L TN:8.879mg/L"</f>
        <v>NPOC:43.64mg/L TN:8.879mg/L</v>
      </c>
      <c r="P517">
        <v>1</v>
      </c>
      <c r="Q517" t="str">
        <f>"80"</f>
        <v>80</v>
      </c>
    </row>
    <row r="518" spans="1:17" x14ac:dyDescent="0.2">
      <c r="A518" t="str">
        <f>"Unknown"</f>
        <v>Unknown</v>
      </c>
      <c r="B518" t="str">
        <f>"NPOC/TN"</f>
        <v>NPOC/TN</v>
      </c>
      <c r="C518" t="str">
        <f>"1082"</f>
        <v>1082</v>
      </c>
      <c r="D518" t="str">
        <f>"49"</f>
        <v>49</v>
      </c>
      <c r="E518" t="str">
        <f>"C:\TOC3201\Methods\Itamar\acid_sample.met"</f>
        <v>C:\TOC3201\Methods\Itamar\acid_sample.met</v>
      </c>
      <c r="F518" t="str">
        <f>"C:\TOC3201\CalCurves\Itamar\N_cal_25ppm_acid_laurel.2019_08_15_12_20_41.cal"</f>
        <v>C:\TOC3201\CalCurves\Itamar\N_cal_25ppm_acid_laurel.2019_08_15_12_20_41.cal</v>
      </c>
      <c r="G518">
        <v>1</v>
      </c>
      <c r="H518" t="str">
        <f>""</f>
        <v/>
      </c>
      <c r="I518" t="str">
        <f>"8/16/2019 10:51:48 AM"</f>
        <v>8/16/2019 10:51:48 AM</v>
      </c>
      <c r="J518" t="str">
        <f>"1"</f>
        <v>1</v>
      </c>
      <c r="K518" t="str">
        <f>"4"</f>
        <v>4</v>
      </c>
      <c r="L518" t="str">
        <f>"TN"</f>
        <v>TN</v>
      </c>
      <c r="M518" t="str">
        <f>"38.84"</f>
        <v>38.84</v>
      </c>
      <c r="N518" t="str">
        <f>"10.06"</f>
        <v>10.06</v>
      </c>
      <c r="O518" t="str">
        <f>"NPOC:43.64mg/L TN:8.879mg/L"</f>
        <v>NPOC:43.64mg/L TN:8.879mg/L</v>
      </c>
      <c r="P518">
        <v>1</v>
      </c>
      <c r="Q518" t="str">
        <f>"80"</f>
        <v>80</v>
      </c>
    </row>
    <row r="519" spans="1:17" x14ac:dyDescent="0.2">
      <c r="A519" t="str">
        <f>"Unknown"</f>
        <v>Unknown</v>
      </c>
      <c r="B519" t="str">
        <f>"NPOC/TN"</f>
        <v>NPOC/TN</v>
      </c>
      <c r="C519" t="str">
        <f>"1082"</f>
        <v>1082</v>
      </c>
      <c r="D519" t="str">
        <f>"49"</f>
        <v>49</v>
      </c>
      <c r="E519" t="str">
        <f>"C:\TOC3201\Methods\Itamar\acid_sample.met"</f>
        <v>C:\TOC3201\Methods\Itamar\acid_sample.met</v>
      </c>
      <c r="F519" t="str">
        <f>"C:\TOC3201\CalCurves\Itamar\N_cal_25ppm_acid_laurel.2019_08_15_12_20_41.cal"</f>
        <v>C:\TOC3201\CalCurves\Itamar\N_cal_25ppm_acid_laurel.2019_08_15_12_20_41.cal</v>
      </c>
      <c r="G519">
        <v>1</v>
      </c>
      <c r="H519" t="str">
        <f>""</f>
        <v/>
      </c>
      <c r="I519" t="str">
        <f>"8/16/2019 10:55:07 AM"</f>
        <v>8/16/2019 10:55:07 AM</v>
      </c>
      <c r="J519" t="str">
        <f>"1"</f>
        <v>1</v>
      </c>
      <c r="K519" t="str">
        <f>"5"</f>
        <v>5</v>
      </c>
      <c r="L519" t="str">
        <f>"TN"</f>
        <v>TN</v>
      </c>
      <c r="M519" t="str">
        <f>"33.96"</f>
        <v>33.96</v>
      </c>
      <c r="N519" t="str">
        <f>"8.814"</f>
        <v>8.814</v>
      </c>
      <c r="O519" t="str">
        <f>"NPOC:43.64mg/L TN:8.879mg/L"</f>
        <v>NPOC:43.64mg/L TN:8.879mg/L</v>
      </c>
      <c r="P519">
        <v>0</v>
      </c>
      <c r="Q519" t="str">
        <f>"80"</f>
        <v>80</v>
      </c>
    </row>
    <row r="520" spans="1:17" x14ac:dyDescent="0.2">
      <c r="A520" t="str">
        <f>"Unknown"</f>
        <v>Unknown</v>
      </c>
      <c r="B520" t="str">
        <f>"NPOC/TN"</f>
        <v>NPOC/TN</v>
      </c>
      <c r="C520" t="str">
        <f>"1084"</f>
        <v>1084</v>
      </c>
      <c r="D520" t="str">
        <f>"50"</f>
        <v>50</v>
      </c>
      <c r="E520" t="str">
        <f>"C:\TOC3201\Methods\Itamar\acid_sample.met"</f>
        <v>C:\TOC3201\Methods\Itamar\acid_sample.met</v>
      </c>
      <c r="F520" t="str">
        <f>"C:\TOC3201\CalCurves\Itamar\C_cal_100ppm_acid_laurel.2019_08_15_10_24_40.cal"</f>
        <v>C:\TOC3201\CalCurves\Itamar\C_cal_100ppm_acid_laurel.2019_08_15_10_24_40.cal</v>
      </c>
      <c r="G520">
        <v>1</v>
      </c>
      <c r="H520" t="str">
        <f>""</f>
        <v/>
      </c>
      <c r="I520" t="str">
        <f>"8/16/2019 11:05:29 AM"</f>
        <v>8/16/2019 11:05:29 AM</v>
      </c>
      <c r="J520" t="str">
        <f>"1"</f>
        <v>1</v>
      </c>
      <c r="K520" t="str">
        <f>"1"</f>
        <v>1</v>
      </c>
      <c r="L520" t="str">
        <f>"NPOC"</f>
        <v>NPOC</v>
      </c>
      <c r="M520" t="str">
        <f>"228.5"</f>
        <v>228.5</v>
      </c>
      <c r="N520" t="str">
        <f>"46.98"</f>
        <v>46.98</v>
      </c>
      <c r="O520" t="str">
        <f>"NPOC:47.43mg/L TN:9.728mg/L"</f>
        <v>NPOC:47.43mg/L TN:9.728mg/L</v>
      </c>
      <c r="P520">
        <v>0</v>
      </c>
      <c r="Q520" t="str">
        <f>"80"</f>
        <v>80</v>
      </c>
    </row>
    <row r="521" spans="1:17" x14ac:dyDescent="0.2">
      <c r="A521" t="str">
        <f>"Unknown"</f>
        <v>Unknown</v>
      </c>
      <c r="B521" t="str">
        <f>"NPOC/TN"</f>
        <v>NPOC/TN</v>
      </c>
      <c r="C521" t="str">
        <f>"1084"</f>
        <v>1084</v>
      </c>
      <c r="D521" t="str">
        <f>"50"</f>
        <v>50</v>
      </c>
      <c r="E521" t="str">
        <f>"C:\TOC3201\Methods\Itamar\acid_sample.met"</f>
        <v>C:\TOC3201\Methods\Itamar\acid_sample.met</v>
      </c>
      <c r="F521" t="str">
        <f>"C:\TOC3201\CalCurves\Itamar\C_cal_100ppm_acid_laurel.2019_08_15_10_24_40.cal"</f>
        <v>C:\TOC3201\CalCurves\Itamar\C_cal_100ppm_acid_laurel.2019_08_15_10_24_40.cal</v>
      </c>
      <c r="G521">
        <v>1</v>
      </c>
      <c r="H521" t="str">
        <f>""</f>
        <v/>
      </c>
      <c r="I521" t="str">
        <f>"8/16/2019 11:09:38 AM"</f>
        <v>8/16/2019 11:09:38 AM</v>
      </c>
      <c r="J521" t="str">
        <f>"1"</f>
        <v>1</v>
      </c>
      <c r="K521" t="str">
        <f>"2"</f>
        <v>2</v>
      </c>
      <c r="L521" t="str">
        <f>"NPOC"</f>
        <v>NPOC</v>
      </c>
      <c r="M521" t="str">
        <f>"228.7"</f>
        <v>228.7</v>
      </c>
      <c r="N521" t="str">
        <f>"47.02"</f>
        <v>47.02</v>
      </c>
      <c r="O521" t="str">
        <f>"NPOC:47.43mg/L TN:9.728mg/L"</f>
        <v>NPOC:47.43mg/L TN:9.728mg/L</v>
      </c>
      <c r="P521">
        <v>0</v>
      </c>
      <c r="Q521" t="str">
        <f>"80"</f>
        <v>80</v>
      </c>
    </row>
    <row r="522" spans="1:17" x14ac:dyDescent="0.2">
      <c r="A522" t="str">
        <f>"Unknown"</f>
        <v>Unknown</v>
      </c>
      <c r="B522" t="str">
        <f>"NPOC/TN"</f>
        <v>NPOC/TN</v>
      </c>
      <c r="C522" t="str">
        <f>"1084"</f>
        <v>1084</v>
      </c>
      <c r="D522" t="str">
        <f>"50"</f>
        <v>50</v>
      </c>
      <c r="E522" t="str">
        <f>"C:\TOC3201\Methods\Itamar\acid_sample.met"</f>
        <v>C:\TOC3201\Methods\Itamar\acid_sample.met</v>
      </c>
      <c r="F522" t="str">
        <f>"C:\TOC3201\CalCurves\Itamar\C_cal_100ppm_acid_laurel.2019_08_15_10_24_40.cal"</f>
        <v>C:\TOC3201\CalCurves\Itamar\C_cal_100ppm_acid_laurel.2019_08_15_10_24_40.cal</v>
      </c>
      <c r="G522">
        <v>1</v>
      </c>
      <c r="H522" t="str">
        <f>""</f>
        <v/>
      </c>
      <c r="I522" t="str">
        <f>"8/16/2019 11:13:44 AM"</f>
        <v>8/16/2019 11:13:44 AM</v>
      </c>
      <c r="J522" t="str">
        <f>"1"</f>
        <v>1</v>
      </c>
      <c r="K522" t="str">
        <f>"3"</f>
        <v>3</v>
      </c>
      <c r="L522" t="str">
        <f>"NPOC"</f>
        <v>NPOC</v>
      </c>
      <c r="M522" t="str">
        <f>"234.8"</f>
        <v>234.8</v>
      </c>
      <c r="N522" t="str">
        <f>"48.28"</f>
        <v>48.28</v>
      </c>
      <c r="O522" t="str">
        <f>"NPOC:47.43mg/L TN:9.728mg/L"</f>
        <v>NPOC:47.43mg/L TN:9.728mg/L</v>
      </c>
      <c r="P522">
        <v>0</v>
      </c>
      <c r="Q522" t="str">
        <f>"80"</f>
        <v>80</v>
      </c>
    </row>
    <row r="523" spans="1:17" x14ac:dyDescent="0.2">
      <c r="A523" t="str">
        <f>"Unknown"</f>
        <v>Unknown</v>
      </c>
      <c r="B523" t="str">
        <f>"NPOC/TN"</f>
        <v>NPOC/TN</v>
      </c>
      <c r="C523" t="str">
        <f>"1084"</f>
        <v>1084</v>
      </c>
      <c r="D523" t="str">
        <f>"50"</f>
        <v>50</v>
      </c>
      <c r="E523" t="str">
        <f>"C:\TOC3201\Methods\Itamar\acid_sample.met"</f>
        <v>C:\TOC3201\Methods\Itamar\acid_sample.met</v>
      </c>
      <c r="F523" t="str">
        <f>"C:\TOC3201\CalCurves\Itamar\N_cal_25ppm_acid_laurel.2019_08_15_12_20_41.cal"</f>
        <v>C:\TOC3201\CalCurves\Itamar\N_cal_25ppm_acid_laurel.2019_08_15_12_20_41.cal</v>
      </c>
      <c r="G523">
        <v>1</v>
      </c>
      <c r="H523" t="str">
        <f>""</f>
        <v/>
      </c>
      <c r="I523" t="str">
        <f>"8/16/2019 11:05:29 AM"</f>
        <v>8/16/2019 11:05:29 AM</v>
      </c>
      <c r="J523" t="str">
        <f>"1"</f>
        <v>1</v>
      </c>
      <c r="K523" t="str">
        <f>"1"</f>
        <v>1</v>
      </c>
      <c r="L523" t="str">
        <f>"TN"</f>
        <v>TN</v>
      </c>
      <c r="M523" t="str">
        <f>"37.54"</f>
        <v>37.54</v>
      </c>
      <c r="N523" t="str">
        <f>"9.726"</f>
        <v>9.726</v>
      </c>
      <c r="O523" t="str">
        <f>"NPOC:47.43mg/L TN:9.728mg/L"</f>
        <v>NPOC:47.43mg/L TN:9.728mg/L</v>
      </c>
      <c r="P523">
        <v>0</v>
      </c>
      <c r="Q523" t="str">
        <f>"80"</f>
        <v>80</v>
      </c>
    </row>
    <row r="524" spans="1:17" x14ac:dyDescent="0.2">
      <c r="A524" t="str">
        <f>"Unknown"</f>
        <v>Unknown</v>
      </c>
      <c r="B524" t="str">
        <f>"NPOC/TN"</f>
        <v>NPOC/TN</v>
      </c>
      <c r="C524" t="str">
        <f>"1084"</f>
        <v>1084</v>
      </c>
      <c r="D524" t="str">
        <f>"50"</f>
        <v>50</v>
      </c>
      <c r="E524" t="str">
        <f>"C:\TOC3201\Methods\Itamar\acid_sample.met"</f>
        <v>C:\TOC3201\Methods\Itamar\acid_sample.met</v>
      </c>
      <c r="F524" t="str">
        <f>"C:\TOC3201\CalCurves\Itamar\N_cal_25ppm_acid_laurel.2019_08_15_12_20_41.cal"</f>
        <v>C:\TOC3201\CalCurves\Itamar\N_cal_25ppm_acid_laurel.2019_08_15_12_20_41.cal</v>
      </c>
      <c r="G524">
        <v>1</v>
      </c>
      <c r="H524" t="str">
        <f>""</f>
        <v/>
      </c>
      <c r="I524" t="str">
        <f>"8/16/2019 11:09:38 AM"</f>
        <v>8/16/2019 11:09:38 AM</v>
      </c>
      <c r="J524" t="str">
        <f>"1"</f>
        <v>1</v>
      </c>
      <c r="K524" t="str">
        <f>"2"</f>
        <v>2</v>
      </c>
      <c r="L524" t="str">
        <f>"TN"</f>
        <v>TN</v>
      </c>
      <c r="M524" t="str">
        <f>"35.96"</f>
        <v>35.96</v>
      </c>
      <c r="N524" t="str">
        <f>"9.323"</f>
        <v>9.323</v>
      </c>
      <c r="O524" t="str">
        <f>"NPOC:47.43mg/L TN:9.728mg/L"</f>
        <v>NPOC:47.43mg/L TN:9.728mg/L</v>
      </c>
      <c r="P524">
        <v>1</v>
      </c>
      <c r="Q524" t="str">
        <f>"80"</f>
        <v>80</v>
      </c>
    </row>
    <row r="525" spans="1:17" x14ac:dyDescent="0.2">
      <c r="A525" t="str">
        <f>"Unknown"</f>
        <v>Unknown</v>
      </c>
      <c r="B525" t="str">
        <f>"NPOC/TN"</f>
        <v>NPOC/TN</v>
      </c>
      <c r="C525" t="str">
        <f>"1084"</f>
        <v>1084</v>
      </c>
      <c r="D525" t="str">
        <f>"50"</f>
        <v>50</v>
      </c>
      <c r="E525" t="str">
        <f>"C:\TOC3201\Methods\Itamar\acid_sample.met"</f>
        <v>C:\TOC3201\Methods\Itamar\acid_sample.met</v>
      </c>
      <c r="F525" t="str">
        <f>"C:\TOC3201\CalCurves\Itamar\N_cal_25ppm_acid_laurel.2019_08_15_12_20_41.cal"</f>
        <v>C:\TOC3201\CalCurves\Itamar\N_cal_25ppm_acid_laurel.2019_08_15_12_20_41.cal</v>
      </c>
      <c r="G525">
        <v>1</v>
      </c>
      <c r="H525" t="str">
        <f>""</f>
        <v/>
      </c>
      <c r="I525" t="str">
        <f>"8/16/2019 11:13:44 AM"</f>
        <v>8/16/2019 11:13:44 AM</v>
      </c>
      <c r="J525" t="str">
        <f>"1"</f>
        <v>1</v>
      </c>
      <c r="K525" t="str">
        <f>"3"</f>
        <v>3</v>
      </c>
      <c r="L525" t="str">
        <f>"TN"</f>
        <v>TN</v>
      </c>
      <c r="M525" t="str">
        <f>"37.92"</f>
        <v>37.92</v>
      </c>
      <c r="N525" t="str">
        <f>"9.823"</f>
        <v>9.823</v>
      </c>
      <c r="O525" t="str">
        <f>"NPOC:47.43mg/L TN:9.728mg/L"</f>
        <v>NPOC:47.43mg/L TN:9.728mg/L</v>
      </c>
      <c r="P525">
        <v>0</v>
      </c>
      <c r="Q525" t="str">
        <f>"80"</f>
        <v>80</v>
      </c>
    </row>
    <row r="526" spans="1:17" x14ac:dyDescent="0.2">
      <c r="A526" t="str">
        <f>"Unknown"</f>
        <v>Unknown</v>
      </c>
      <c r="B526" t="str">
        <f>"NPOC/TN"</f>
        <v>NPOC/TN</v>
      </c>
      <c r="C526" t="str">
        <f>"1084"</f>
        <v>1084</v>
      </c>
      <c r="D526" t="str">
        <f>"50"</f>
        <v>50</v>
      </c>
      <c r="E526" t="str">
        <f>"C:\TOC3201\Methods\Itamar\acid_sample.met"</f>
        <v>C:\TOC3201\Methods\Itamar\acid_sample.met</v>
      </c>
      <c r="F526" t="str">
        <f>"C:\TOC3201\CalCurves\Itamar\N_cal_25ppm_acid_laurel.2019_08_15_12_20_41.cal"</f>
        <v>C:\TOC3201\CalCurves\Itamar\N_cal_25ppm_acid_laurel.2019_08_15_12_20_41.cal</v>
      </c>
      <c r="G526">
        <v>1</v>
      </c>
      <c r="H526" t="str">
        <f>""</f>
        <v/>
      </c>
      <c r="I526" t="str">
        <f>"8/16/2019 11:17:12 AM"</f>
        <v>8/16/2019 11:17:12 AM</v>
      </c>
      <c r="J526" t="str">
        <f>"1"</f>
        <v>1</v>
      </c>
      <c r="K526" t="str">
        <f>"4"</f>
        <v>4</v>
      </c>
      <c r="L526" t="str">
        <f>"TN"</f>
        <v>TN</v>
      </c>
      <c r="M526" t="str">
        <f>"37.18"</f>
        <v>37.18</v>
      </c>
      <c r="N526" t="str">
        <f>"9.634"</f>
        <v>9.634</v>
      </c>
      <c r="O526" t="str">
        <f>"NPOC:47.43mg/L TN:9.728mg/L"</f>
        <v>NPOC:47.43mg/L TN:9.728mg/L</v>
      </c>
      <c r="P526">
        <v>0</v>
      </c>
      <c r="Q526" t="str">
        <f>"80"</f>
        <v>80</v>
      </c>
    </row>
    <row r="527" spans="1:17" x14ac:dyDescent="0.2">
      <c r="A527" t="str">
        <f>"Unknown"</f>
        <v>Unknown</v>
      </c>
      <c r="B527" t="str">
        <f>"NPOC/TN"</f>
        <v>NPOC/TN</v>
      </c>
      <c r="C527" t="str">
        <f>"1086"</f>
        <v>1086</v>
      </c>
      <c r="D527" t="str">
        <f>"51"</f>
        <v>51</v>
      </c>
      <c r="E527" t="str">
        <f>"C:\TOC3201\Methods\Itamar\acid_sample.met"</f>
        <v>C:\TOC3201\Methods\Itamar\acid_sample.met</v>
      </c>
      <c r="F527" t="str">
        <f>"C:\TOC3201\CalCurves\Itamar\C_cal_100ppm_acid_laurel.2019_08_15_10_24_40.cal"</f>
        <v>C:\TOC3201\CalCurves\Itamar\C_cal_100ppm_acid_laurel.2019_08_15_10_24_40.cal</v>
      </c>
      <c r="G527">
        <v>1</v>
      </c>
      <c r="H527" t="str">
        <f>""</f>
        <v/>
      </c>
      <c r="I527" t="str">
        <f>"8/16/2019 11:27:41 AM"</f>
        <v>8/16/2019 11:27:41 AM</v>
      </c>
      <c r="J527" t="str">
        <f>"1"</f>
        <v>1</v>
      </c>
      <c r="K527" t="str">
        <f>"1"</f>
        <v>1</v>
      </c>
      <c r="L527" t="str">
        <f>"NPOC"</f>
        <v>NPOC</v>
      </c>
      <c r="M527" t="str">
        <f>"217.2"</f>
        <v>217.2</v>
      </c>
      <c r="N527" t="str">
        <f>"44.66"</f>
        <v>44.66</v>
      </c>
      <c r="O527" t="str">
        <f>"NPOC:43.66mg/L TN:9.572mg/L"</f>
        <v>NPOC:43.66mg/L TN:9.572mg/L</v>
      </c>
      <c r="P527">
        <v>0</v>
      </c>
      <c r="Q527" t="str">
        <f>"80"</f>
        <v>80</v>
      </c>
    </row>
    <row r="528" spans="1:17" x14ac:dyDescent="0.2">
      <c r="A528" t="str">
        <f>"Unknown"</f>
        <v>Unknown</v>
      </c>
      <c r="B528" t="str">
        <f>"NPOC/TN"</f>
        <v>NPOC/TN</v>
      </c>
      <c r="C528" t="str">
        <f>"1086"</f>
        <v>1086</v>
      </c>
      <c r="D528" t="str">
        <f>"51"</f>
        <v>51</v>
      </c>
      <c r="E528" t="str">
        <f>"C:\TOC3201\Methods\Itamar\acid_sample.met"</f>
        <v>C:\TOC3201\Methods\Itamar\acid_sample.met</v>
      </c>
      <c r="F528" t="str">
        <f>"C:\TOC3201\CalCurves\Itamar\C_cal_100ppm_acid_laurel.2019_08_15_10_24_40.cal"</f>
        <v>C:\TOC3201\CalCurves\Itamar\C_cal_100ppm_acid_laurel.2019_08_15_10_24_40.cal</v>
      </c>
      <c r="G528">
        <v>1</v>
      </c>
      <c r="H528" t="str">
        <f>""</f>
        <v/>
      </c>
      <c r="I528" t="str">
        <f>"8/16/2019 11:31:31 AM"</f>
        <v>8/16/2019 11:31:31 AM</v>
      </c>
      <c r="J528" t="str">
        <f>"1"</f>
        <v>1</v>
      </c>
      <c r="K528" t="str">
        <f>"2"</f>
        <v>2</v>
      </c>
      <c r="L528" t="str">
        <f>"NPOC"</f>
        <v>NPOC</v>
      </c>
      <c r="M528" t="str">
        <f>"209.3"</f>
        <v>209.3</v>
      </c>
      <c r="N528" t="str">
        <f>"43.04"</f>
        <v>43.04</v>
      </c>
      <c r="O528" t="str">
        <f>"NPOC:43.66mg/L TN:9.572mg/L"</f>
        <v>NPOC:43.66mg/L TN:9.572mg/L</v>
      </c>
      <c r="P528">
        <v>0</v>
      </c>
      <c r="Q528" t="str">
        <f>"80"</f>
        <v>80</v>
      </c>
    </row>
    <row r="529" spans="1:17" x14ac:dyDescent="0.2">
      <c r="A529" t="str">
        <f>"Unknown"</f>
        <v>Unknown</v>
      </c>
      <c r="B529" t="str">
        <f>"NPOC/TN"</f>
        <v>NPOC/TN</v>
      </c>
      <c r="C529" t="str">
        <f>"1086"</f>
        <v>1086</v>
      </c>
      <c r="D529" t="str">
        <f>"51"</f>
        <v>51</v>
      </c>
      <c r="E529" t="str">
        <f>"C:\TOC3201\Methods\Itamar\acid_sample.met"</f>
        <v>C:\TOC3201\Methods\Itamar\acid_sample.met</v>
      </c>
      <c r="F529" t="str">
        <f>"C:\TOC3201\CalCurves\Itamar\C_cal_100ppm_acid_laurel.2019_08_15_10_24_40.cal"</f>
        <v>C:\TOC3201\CalCurves\Itamar\C_cal_100ppm_acid_laurel.2019_08_15_10_24_40.cal</v>
      </c>
      <c r="G529">
        <v>1</v>
      </c>
      <c r="H529" t="str">
        <f>""</f>
        <v/>
      </c>
      <c r="I529" t="str">
        <f>"8/16/2019 11:35:33 AM"</f>
        <v>8/16/2019 11:35:33 AM</v>
      </c>
      <c r="J529" t="str">
        <f>"1"</f>
        <v>1</v>
      </c>
      <c r="K529" t="str">
        <f>"3"</f>
        <v>3</v>
      </c>
      <c r="L529" t="str">
        <f>"NPOC"</f>
        <v>NPOC</v>
      </c>
      <c r="M529" t="str">
        <f>"227.8"</f>
        <v>227.8</v>
      </c>
      <c r="N529" t="str">
        <f>"46.84"</f>
        <v>46.84</v>
      </c>
      <c r="O529" t="str">
        <f>"NPOC:43.66mg/L TN:9.572mg/L"</f>
        <v>NPOC:43.66mg/L TN:9.572mg/L</v>
      </c>
      <c r="P529">
        <v>1</v>
      </c>
      <c r="Q529" t="str">
        <f>"80"</f>
        <v>80</v>
      </c>
    </row>
    <row r="530" spans="1:17" x14ac:dyDescent="0.2">
      <c r="A530" t="str">
        <f>"Unknown"</f>
        <v>Unknown</v>
      </c>
      <c r="B530" t="str">
        <f>"NPOC/TN"</f>
        <v>NPOC/TN</v>
      </c>
      <c r="C530" t="str">
        <f>"1086"</f>
        <v>1086</v>
      </c>
      <c r="D530" t="str">
        <f>"51"</f>
        <v>51</v>
      </c>
      <c r="E530" t="str">
        <f>"C:\TOC3201\Methods\Itamar\acid_sample.met"</f>
        <v>C:\TOC3201\Methods\Itamar\acid_sample.met</v>
      </c>
      <c r="F530" t="str">
        <f>"C:\TOC3201\CalCurves\Itamar\C_cal_100ppm_acid_laurel.2019_08_15_10_24_40.cal"</f>
        <v>C:\TOC3201\CalCurves\Itamar\C_cal_100ppm_acid_laurel.2019_08_15_10_24_40.cal</v>
      </c>
      <c r="G530">
        <v>1</v>
      </c>
      <c r="H530" t="str">
        <f>""</f>
        <v/>
      </c>
      <c r="I530" t="str">
        <f>"8/16/2019 11:39:29 AM"</f>
        <v>8/16/2019 11:39:29 AM</v>
      </c>
      <c r="J530" t="str">
        <f>"1"</f>
        <v>1</v>
      </c>
      <c r="K530" t="str">
        <f>"4"</f>
        <v>4</v>
      </c>
      <c r="L530" t="str">
        <f>"NPOC"</f>
        <v>NPOC</v>
      </c>
      <c r="M530" t="str">
        <f>"221.2"</f>
        <v>221.2</v>
      </c>
      <c r="N530" t="str">
        <f>"45.48"</f>
        <v>45.48</v>
      </c>
      <c r="O530" t="str">
        <f>"NPOC:43.66mg/L TN:9.572mg/L"</f>
        <v>NPOC:43.66mg/L TN:9.572mg/L</v>
      </c>
      <c r="P530">
        <v>1</v>
      </c>
      <c r="Q530" t="str">
        <f>"80"</f>
        <v>80</v>
      </c>
    </row>
    <row r="531" spans="1:17" x14ac:dyDescent="0.2">
      <c r="A531" t="str">
        <f>"Unknown"</f>
        <v>Unknown</v>
      </c>
      <c r="B531" t="str">
        <f>"NPOC/TN"</f>
        <v>NPOC/TN</v>
      </c>
      <c r="C531" t="str">
        <f>"1086"</f>
        <v>1086</v>
      </c>
      <c r="D531" t="str">
        <f>"51"</f>
        <v>51</v>
      </c>
      <c r="E531" t="str">
        <f>"C:\TOC3201\Methods\Itamar\acid_sample.met"</f>
        <v>C:\TOC3201\Methods\Itamar\acid_sample.met</v>
      </c>
      <c r="F531" t="str">
        <f>"C:\TOC3201\CalCurves\Itamar\C_cal_100ppm_acid_laurel.2019_08_15_10_24_40.cal"</f>
        <v>C:\TOC3201\CalCurves\Itamar\C_cal_100ppm_acid_laurel.2019_08_15_10_24_40.cal</v>
      </c>
      <c r="G531">
        <v>1</v>
      </c>
      <c r="H531" t="str">
        <f>""</f>
        <v/>
      </c>
      <c r="I531" t="str">
        <f>"8/16/2019 11:43:19 AM"</f>
        <v>8/16/2019 11:43:19 AM</v>
      </c>
      <c r="J531" t="str">
        <f>"1"</f>
        <v>1</v>
      </c>
      <c r="K531" t="str">
        <f>"5"</f>
        <v>5</v>
      </c>
      <c r="L531" t="str">
        <f>"NPOC"</f>
        <v>NPOC</v>
      </c>
      <c r="M531" t="str">
        <f>"210.4"</f>
        <v>210.4</v>
      </c>
      <c r="N531" t="str">
        <f>"43.27"</f>
        <v>43.27</v>
      </c>
      <c r="O531" t="str">
        <f>"NPOC:43.66mg/L TN:9.572mg/L"</f>
        <v>NPOC:43.66mg/L TN:9.572mg/L</v>
      </c>
      <c r="P531">
        <v>0</v>
      </c>
      <c r="Q531" t="str">
        <f>"80"</f>
        <v>80</v>
      </c>
    </row>
    <row r="532" spans="1:17" x14ac:dyDescent="0.2">
      <c r="A532" t="str">
        <f>"Unknown"</f>
        <v>Unknown</v>
      </c>
      <c r="B532" t="str">
        <f>"NPOC/TN"</f>
        <v>NPOC/TN</v>
      </c>
      <c r="C532" t="str">
        <f>"1086"</f>
        <v>1086</v>
      </c>
      <c r="D532" t="str">
        <f>"51"</f>
        <v>51</v>
      </c>
      <c r="E532" t="str">
        <f>"C:\TOC3201\Methods\Itamar\acid_sample.met"</f>
        <v>C:\TOC3201\Methods\Itamar\acid_sample.met</v>
      </c>
      <c r="F532" t="str">
        <f>"C:\TOC3201\CalCurves\Itamar\N_cal_25ppm_acid_laurel.2019_08_15_12_20_41.cal"</f>
        <v>C:\TOC3201\CalCurves\Itamar\N_cal_25ppm_acid_laurel.2019_08_15_12_20_41.cal</v>
      </c>
      <c r="G532">
        <v>1</v>
      </c>
      <c r="H532" t="str">
        <f>""</f>
        <v/>
      </c>
      <c r="I532" t="str">
        <f>"8/16/2019 11:27:41 AM"</f>
        <v>8/16/2019 11:27:41 AM</v>
      </c>
      <c r="J532" t="str">
        <f>"1"</f>
        <v>1</v>
      </c>
      <c r="K532" t="str">
        <f>"1"</f>
        <v>1</v>
      </c>
      <c r="L532" t="str">
        <f>"TN"</f>
        <v>TN</v>
      </c>
      <c r="M532" t="str">
        <f>"37.05"</f>
        <v>37.05</v>
      </c>
      <c r="N532" t="str">
        <f>"9.601"</f>
        <v>9.601</v>
      </c>
      <c r="O532" t="str">
        <f>"NPOC:43.66mg/L TN:9.572mg/L"</f>
        <v>NPOC:43.66mg/L TN:9.572mg/L</v>
      </c>
      <c r="P532">
        <v>0</v>
      </c>
      <c r="Q532" t="str">
        <f>"80"</f>
        <v>80</v>
      </c>
    </row>
    <row r="533" spans="1:17" x14ac:dyDescent="0.2">
      <c r="A533" t="str">
        <f>"Unknown"</f>
        <v>Unknown</v>
      </c>
      <c r="B533" t="str">
        <f>"NPOC/TN"</f>
        <v>NPOC/TN</v>
      </c>
      <c r="C533" t="str">
        <f>"1086"</f>
        <v>1086</v>
      </c>
      <c r="D533" t="str">
        <f>"51"</f>
        <v>51</v>
      </c>
      <c r="E533" t="str">
        <f>"C:\TOC3201\Methods\Itamar\acid_sample.met"</f>
        <v>C:\TOC3201\Methods\Itamar\acid_sample.met</v>
      </c>
      <c r="F533" t="str">
        <f>"C:\TOC3201\CalCurves\Itamar\N_cal_25ppm_acid_laurel.2019_08_15_12_20_41.cal"</f>
        <v>C:\TOC3201\CalCurves\Itamar\N_cal_25ppm_acid_laurel.2019_08_15_12_20_41.cal</v>
      </c>
      <c r="G533">
        <v>1</v>
      </c>
      <c r="H533" t="str">
        <f>""</f>
        <v/>
      </c>
      <c r="I533" t="str">
        <f>"8/16/2019 11:31:31 AM"</f>
        <v>8/16/2019 11:31:31 AM</v>
      </c>
      <c r="J533" t="str">
        <f>"1"</f>
        <v>1</v>
      </c>
      <c r="K533" t="str">
        <f>"2"</f>
        <v>2</v>
      </c>
      <c r="L533" t="str">
        <f>"TN"</f>
        <v>TN</v>
      </c>
      <c r="M533" t="str">
        <f>"34.73"</f>
        <v>34.73</v>
      </c>
      <c r="N533" t="str">
        <f>"9.010"</f>
        <v>9.010</v>
      </c>
      <c r="O533" t="str">
        <f>"NPOC:43.66mg/L TN:9.572mg/L"</f>
        <v>NPOC:43.66mg/L TN:9.572mg/L</v>
      </c>
      <c r="P533">
        <v>1</v>
      </c>
      <c r="Q533" t="str">
        <f>"80"</f>
        <v>80</v>
      </c>
    </row>
    <row r="534" spans="1:17" x14ac:dyDescent="0.2">
      <c r="A534" t="str">
        <f>"Unknown"</f>
        <v>Unknown</v>
      </c>
      <c r="B534" t="str">
        <f>"NPOC/TN"</f>
        <v>NPOC/TN</v>
      </c>
      <c r="C534" t="str">
        <f>"1086"</f>
        <v>1086</v>
      </c>
      <c r="D534" t="str">
        <f>"51"</f>
        <v>51</v>
      </c>
      <c r="E534" t="str">
        <f>"C:\TOC3201\Methods\Itamar\acid_sample.met"</f>
        <v>C:\TOC3201\Methods\Itamar\acid_sample.met</v>
      </c>
      <c r="F534" t="str">
        <f>"C:\TOC3201\CalCurves\Itamar\N_cal_25ppm_acid_laurel.2019_08_15_12_20_41.cal"</f>
        <v>C:\TOC3201\CalCurves\Itamar\N_cal_25ppm_acid_laurel.2019_08_15_12_20_41.cal</v>
      </c>
      <c r="G534">
        <v>1</v>
      </c>
      <c r="H534" t="str">
        <f>""</f>
        <v/>
      </c>
      <c r="I534" t="str">
        <f>"8/16/2019 11:35:33 AM"</f>
        <v>8/16/2019 11:35:33 AM</v>
      </c>
      <c r="J534" t="str">
        <f>"1"</f>
        <v>1</v>
      </c>
      <c r="K534" t="str">
        <f>"3"</f>
        <v>3</v>
      </c>
      <c r="L534" t="str">
        <f>"TN"</f>
        <v>TN</v>
      </c>
      <c r="M534" t="str">
        <f>"37.24"</f>
        <v>37.24</v>
      </c>
      <c r="N534" t="str">
        <f>"9.650"</f>
        <v>9.650</v>
      </c>
      <c r="O534" t="str">
        <f>"NPOC:43.66mg/L TN:9.572mg/L"</f>
        <v>NPOC:43.66mg/L TN:9.572mg/L</v>
      </c>
      <c r="P534">
        <v>0</v>
      </c>
      <c r="Q534" t="str">
        <f>"80"</f>
        <v>80</v>
      </c>
    </row>
    <row r="535" spans="1:17" x14ac:dyDescent="0.2">
      <c r="A535" t="str">
        <f>"Unknown"</f>
        <v>Unknown</v>
      </c>
      <c r="B535" t="str">
        <f>"NPOC/TN"</f>
        <v>NPOC/TN</v>
      </c>
      <c r="C535" t="str">
        <f>"1086"</f>
        <v>1086</v>
      </c>
      <c r="D535" t="str">
        <f>"51"</f>
        <v>51</v>
      </c>
      <c r="E535" t="str">
        <f>"C:\TOC3201\Methods\Itamar\acid_sample.met"</f>
        <v>C:\TOC3201\Methods\Itamar\acid_sample.met</v>
      </c>
      <c r="F535" t="str">
        <f>"C:\TOC3201\CalCurves\Itamar\N_cal_25ppm_acid_laurel.2019_08_15_12_20_41.cal"</f>
        <v>C:\TOC3201\CalCurves\Itamar\N_cal_25ppm_acid_laurel.2019_08_15_12_20_41.cal</v>
      </c>
      <c r="G535">
        <v>1</v>
      </c>
      <c r="H535" t="str">
        <f>""</f>
        <v/>
      </c>
      <c r="I535" t="str">
        <f>"8/16/2019 11:39:29 AM"</f>
        <v>8/16/2019 11:39:29 AM</v>
      </c>
      <c r="J535" t="str">
        <f>"1"</f>
        <v>1</v>
      </c>
      <c r="K535" t="str">
        <f>"4"</f>
        <v>4</v>
      </c>
      <c r="L535" t="str">
        <f>"TN"</f>
        <v>TN</v>
      </c>
      <c r="M535" t="str">
        <f>"36.52"</f>
        <v>36.52</v>
      </c>
      <c r="N535" t="str">
        <f>"9.466"</f>
        <v>9.466</v>
      </c>
      <c r="O535" t="str">
        <f>"NPOC:43.66mg/L TN:9.572mg/L"</f>
        <v>NPOC:43.66mg/L TN:9.572mg/L</v>
      </c>
      <c r="P535">
        <v>0</v>
      </c>
      <c r="Q535" t="str">
        <f>"80"</f>
        <v>80</v>
      </c>
    </row>
    <row r="536" spans="1:17" x14ac:dyDescent="0.2">
      <c r="A536" t="str">
        <f>"Unknown"</f>
        <v>Unknown</v>
      </c>
      <c r="B536" t="str">
        <f>"NPOC/TN"</f>
        <v>NPOC/TN</v>
      </c>
      <c r="C536" t="str">
        <f>"1088"</f>
        <v>1088</v>
      </c>
      <c r="D536" t="str">
        <f>"52"</f>
        <v>52</v>
      </c>
      <c r="E536" t="str">
        <f>"C:\TOC3201\Methods\Itamar\acid_sample.met"</f>
        <v>C:\TOC3201\Methods\Itamar\acid_sample.met</v>
      </c>
      <c r="F536" t="str">
        <f>"C:\TOC3201\CalCurves\Itamar\C_cal_100ppm_acid_laurel.2019_08_15_10_24_40.cal"</f>
        <v>C:\TOC3201\CalCurves\Itamar\C_cal_100ppm_acid_laurel.2019_08_15_10_24_40.cal</v>
      </c>
      <c r="G536">
        <v>1</v>
      </c>
      <c r="H536" t="str">
        <f>""</f>
        <v/>
      </c>
      <c r="I536" t="str">
        <f>"8/16/2019 11:53:02 AM"</f>
        <v>8/16/2019 11:53:02 AM</v>
      </c>
      <c r="J536" t="str">
        <f>"1"</f>
        <v>1</v>
      </c>
      <c r="K536" t="str">
        <f>"1"</f>
        <v>1</v>
      </c>
      <c r="L536" t="str">
        <f>"NPOC"</f>
        <v>NPOC</v>
      </c>
      <c r="M536" t="str">
        <f>"29.22"</f>
        <v>29.22</v>
      </c>
      <c r="N536" t="str">
        <f>"6.060"</f>
        <v>6.060</v>
      </c>
      <c r="O536" t="str">
        <f>"NPOC:6.038mg/L TN:0.6355mg/L"</f>
        <v>NPOC:6.038mg/L TN:0.6355mg/L</v>
      </c>
      <c r="P536">
        <v>0</v>
      </c>
      <c r="Q536" t="str">
        <f>"80"</f>
        <v>80</v>
      </c>
    </row>
    <row r="537" spans="1:17" x14ac:dyDescent="0.2">
      <c r="A537" t="str">
        <f>"Unknown"</f>
        <v>Unknown</v>
      </c>
      <c r="B537" t="str">
        <f>"NPOC/TN"</f>
        <v>NPOC/TN</v>
      </c>
      <c r="C537" t="str">
        <f>"1088"</f>
        <v>1088</v>
      </c>
      <c r="D537" t="str">
        <f>"52"</f>
        <v>52</v>
      </c>
      <c r="E537" t="str">
        <f>"C:\TOC3201\Methods\Itamar\acid_sample.met"</f>
        <v>C:\TOC3201\Methods\Itamar\acid_sample.met</v>
      </c>
      <c r="F537" t="str">
        <f>"C:\TOC3201\CalCurves\Itamar\C_cal_100ppm_acid_laurel.2019_08_15_10_24_40.cal"</f>
        <v>C:\TOC3201\CalCurves\Itamar\C_cal_100ppm_acid_laurel.2019_08_15_10_24_40.cal</v>
      </c>
      <c r="G537">
        <v>1</v>
      </c>
      <c r="H537" t="str">
        <f>""</f>
        <v/>
      </c>
      <c r="I537" t="str">
        <f>"8/16/2019 11:56:15 AM"</f>
        <v>8/16/2019 11:56:15 AM</v>
      </c>
      <c r="J537" t="str">
        <f>"1"</f>
        <v>1</v>
      </c>
      <c r="K537" t="str">
        <f>"2"</f>
        <v>2</v>
      </c>
      <c r="L537" t="str">
        <f>"NPOC"</f>
        <v>NPOC</v>
      </c>
      <c r="M537" t="str">
        <f>"28.73"</f>
        <v>28.73</v>
      </c>
      <c r="N537" t="str">
        <f>"5.960"</f>
        <v>5.960</v>
      </c>
      <c r="O537" t="str">
        <f>"NPOC:6.038mg/L TN:0.6355mg/L"</f>
        <v>NPOC:6.038mg/L TN:0.6355mg/L</v>
      </c>
      <c r="P537">
        <v>0</v>
      </c>
      <c r="Q537" t="str">
        <f>"80"</f>
        <v>80</v>
      </c>
    </row>
    <row r="538" spans="1:17" x14ac:dyDescent="0.2">
      <c r="A538" t="str">
        <f>"Unknown"</f>
        <v>Unknown</v>
      </c>
      <c r="B538" t="str">
        <f>"NPOC/TN"</f>
        <v>NPOC/TN</v>
      </c>
      <c r="C538" t="str">
        <f>"1088"</f>
        <v>1088</v>
      </c>
      <c r="D538" t="str">
        <f>"52"</f>
        <v>52</v>
      </c>
      <c r="E538" t="str">
        <f>"C:\TOC3201\Methods\Itamar\acid_sample.met"</f>
        <v>C:\TOC3201\Methods\Itamar\acid_sample.met</v>
      </c>
      <c r="F538" t="str">
        <f>"C:\TOC3201\CalCurves\Itamar\C_cal_100ppm_acid_laurel.2019_08_15_10_24_40.cal"</f>
        <v>C:\TOC3201\CalCurves\Itamar\C_cal_100ppm_acid_laurel.2019_08_15_10_24_40.cal</v>
      </c>
      <c r="G538">
        <v>1</v>
      </c>
      <c r="H538" t="str">
        <f>""</f>
        <v/>
      </c>
      <c r="I538" t="str">
        <f>"8/16/2019 11:59:26 AM"</f>
        <v>8/16/2019 11:59:26 AM</v>
      </c>
      <c r="J538" t="str">
        <f>"1"</f>
        <v>1</v>
      </c>
      <c r="K538" t="str">
        <f>"3"</f>
        <v>3</v>
      </c>
      <c r="L538" t="str">
        <f>"NPOC"</f>
        <v>NPOC</v>
      </c>
      <c r="M538" t="str">
        <f>"29.38"</f>
        <v>29.38</v>
      </c>
      <c r="N538" t="str">
        <f>"6.093"</f>
        <v>6.093</v>
      </c>
      <c r="O538" t="str">
        <f>"NPOC:6.038mg/L TN:0.6355mg/L"</f>
        <v>NPOC:6.038mg/L TN:0.6355mg/L</v>
      </c>
      <c r="P538">
        <v>0</v>
      </c>
      <c r="Q538" t="str">
        <f>"80"</f>
        <v>80</v>
      </c>
    </row>
    <row r="539" spans="1:17" x14ac:dyDescent="0.2">
      <c r="A539" t="str">
        <f>"Unknown"</f>
        <v>Unknown</v>
      </c>
      <c r="B539" t="str">
        <f>"NPOC/TN"</f>
        <v>NPOC/TN</v>
      </c>
      <c r="C539" t="str">
        <f>"1088"</f>
        <v>1088</v>
      </c>
      <c r="D539" t="str">
        <f>"52"</f>
        <v>52</v>
      </c>
      <c r="E539" t="str">
        <f>"C:\TOC3201\Methods\Itamar\acid_sample.met"</f>
        <v>C:\TOC3201\Methods\Itamar\acid_sample.met</v>
      </c>
      <c r="F539" t="str">
        <f>"C:\TOC3201\CalCurves\Itamar\N_cal_25ppm_acid_laurel.2019_08_15_12_20_41.cal"</f>
        <v>C:\TOC3201\CalCurves\Itamar\N_cal_25ppm_acid_laurel.2019_08_15_12_20_41.cal</v>
      </c>
      <c r="G539">
        <v>1</v>
      </c>
      <c r="H539" t="str">
        <f>""</f>
        <v/>
      </c>
      <c r="I539" t="str">
        <f>"8/16/2019 11:53:02 AM"</f>
        <v>8/16/2019 11:53:02 AM</v>
      </c>
      <c r="J539" t="str">
        <f>"1"</f>
        <v>1</v>
      </c>
      <c r="K539" t="str">
        <f>"1"</f>
        <v>1</v>
      </c>
      <c r="L539" t="str">
        <f>"TN"</f>
        <v>TN</v>
      </c>
      <c r="M539" t="str">
        <f>"1.716"</f>
        <v>1.716</v>
      </c>
      <c r="N539" t="str">
        <f>"0.5981"</f>
        <v>0.5981</v>
      </c>
      <c r="O539" t="str">
        <f>"NPOC:6.038mg/L TN:0.6355mg/L"</f>
        <v>NPOC:6.038mg/L TN:0.6355mg/L</v>
      </c>
      <c r="P539">
        <v>1</v>
      </c>
      <c r="Q539" t="str">
        <f>"80"</f>
        <v>80</v>
      </c>
    </row>
    <row r="540" spans="1:17" x14ac:dyDescent="0.2">
      <c r="A540" t="str">
        <f>"Unknown"</f>
        <v>Unknown</v>
      </c>
      <c r="B540" t="str">
        <f>"NPOC/TN"</f>
        <v>NPOC/TN</v>
      </c>
      <c r="C540" t="str">
        <f>"1088"</f>
        <v>1088</v>
      </c>
      <c r="D540" t="str">
        <f>"52"</f>
        <v>52</v>
      </c>
      <c r="E540" t="str">
        <f>"C:\TOC3201\Methods\Itamar\acid_sample.met"</f>
        <v>C:\TOC3201\Methods\Itamar\acid_sample.met</v>
      </c>
      <c r="F540" t="str">
        <f>"C:\TOC3201\CalCurves\Itamar\N_cal_25ppm_acid_laurel.2019_08_15_12_20_41.cal"</f>
        <v>C:\TOC3201\CalCurves\Itamar\N_cal_25ppm_acid_laurel.2019_08_15_12_20_41.cal</v>
      </c>
      <c r="G540">
        <v>1</v>
      </c>
      <c r="H540" t="str">
        <f>""</f>
        <v/>
      </c>
      <c r="I540" t="str">
        <f>"8/16/2019 11:56:15 AM"</f>
        <v>8/16/2019 11:56:15 AM</v>
      </c>
      <c r="J540" t="str">
        <f>"1"</f>
        <v>1</v>
      </c>
      <c r="K540" t="str">
        <f>"2"</f>
        <v>2</v>
      </c>
      <c r="L540" t="str">
        <f>"TN"</f>
        <v>TN</v>
      </c>
      <c r="M540" t="str">
        <f>"1.909"</f>
        <v>1.909</v>
      </c>
      <c r="N540" t="str">
        <f>"0.6473"</f>
        <v>0.6473</v>
      </c>
      <c r="O540" t="str">
        <f>"NPOC:6.038mg/L TN:0.6355mg/L"</f>
        <v>NPOC:6.038mg/L TN:0.6355mg/L</v>
      </c>
      <c r="P540">
        <v>0</v>
      </c>
      <c r="Q540" t="str">
        <f>"80"</f>
        <v>80</v>
      </c>
    </row>
    <row r="541" spans="1:17" x14ac:dyDescent="0.2">
      <c r="A541" t="str">
        <f>"Unknown"</f>
        <v>Unknown</v>
      </c>
      <c r="B541" t="str">
        <f>"NPOC/TN"</f>
        <v>NPOC/TN</v>
      </c>
      <c r="C541" t="str">
        <f>"1088"</f>
        <v>1088</v>
      </c>
      <c r="D541" t="str">
        <f>"52"</f>
        <v>52</v>
      </c>
      <c r="E541" t="str">
        <f>"C:\TOC3201\Methods\Itamar\acid_sample.met"</f>
        <v>C:\TOC3201\Methods\Itamar\acid_sample.met</v>
      </c>
      <c r="F541" t="str">
        <f>"C:\TOC3201\CalCurves\Itamar\N_cal_25ppm_acid_laurel.2019_08_15_12_20_41.cal"</f>
        <v>C:\TOC3201\CalCurves\Itamar\N_cal_25ppm_acid_laurel.2019_08_15_12_20_41.cal</v>
      </c>
      <c r="G541">
        <v>1</v>
      </c>
      <c r="H541" t="str">
        <f>""</f>
        <v/>
      </c>
      <c r="I541" t="str">
        <f>"8/16/2019 11:59:26 AM"</f>
        <v>8/16/2019 11:59:26 AM</v>
      </c>
      <c r="J541" t="str">
        <f>"1"</f>
        <v>1</v>
      </c>
      <c r="K541" t="str">
        <f>"3"</f>
        <v>3</v>
      </c>
      <c r="L541" t="str">
        <f>"TN"</f>
        <v>TN</v>
      </c>
      <c r="M541" t="str">
        <f>"1.862"</f>
        <v>1.862</v>
      </c>
      <c r="N541" t="str">
        <f>"0.6353"</f>
        <v>0.6353</v>
      </c>
      <c r="O541" t="str">
        <f>"NPOC:6.038mg/L TN:0.6355mg/L"</f>
        <v>NPOC:6.038mg/L TN:0.6355mg/L</v>
      </c>
      <c r="P541">
        <v>0</v>
      </c>
      <c r="Q541" t="str">
        <f>"80"</f>
        <v>80</v>
      </c>
    </row>
    <row r="542" spans="1:17" x14ac:dyDescent="0.2">
      <c r="A542" t="str">
        <f>"Unknown"</f>
        <v>Unknown</v>
      </c>
      <c r="B542" t="str">
        <f>"NPOC/TN"</f>
        <v>NPOC/TN</v>
      </c>
      <c r="C542" t="str">
        <f>"1088"</f>
        <v>1088</v>
      </c>
      <c r="D542" t="str">
        <f>"52"</f>
        <v>52</v>
      </c>
      <c r="E542" t="str">
        <f>"C:\TOC3201\Methods\Itamar\acid_sample.met"</f>
        <v>C:\TOC3201\Methods\Itamar\acid_sample.met</v>
      </c>
      <c r="F542" t="str">
        <f>"C:\TOC3201\CalCurves\Itamar\N_cal_25ppm_acid_laurel.2019_08_15_12_20_41.cal"</f>
        <v>C:\TOC3201\CalCurves\Itamar\N_cal_25ppm_acid_laurel.2019_08_15_12_20_41.cal</v>
      </c>
      <c r="G542">
        <v>1</v>
      </c>
      <c r="H542" t="str">
        <f>""</f>
        <v/>
      </c>
      <c r="I542" t="str">
        <f>"8/16/2019 12:02:10 PM"</f>
        <v>8/16/2019 12:02:10 PM</v>
      </c>
      <c r="J542" t="str">
        <f>"1"</f>
        <v>1</v>
      </c>
      <c r="K542" t="str">
        <f>"4"</f>
        <v>4</v>
      </c>
      <c r="L542" t="str">
        <f>"TN"</f>
        <v>TN</v>
      </c>
      <c r="M542" t="str">
        <f>"1.817"</f>
        <v>1.817</v>
      </c>
      <c r="N542" t="str">
        <f>"0.6239"</f>
        <v>0.6239</v>
      </c>
      <c r="O542" t="str">
        <f>"NPOC:6.038mg/L TN:0.6355mg/L"</f>
        <v>NPOC:6.038mg/L TN:0.6355mg/L</v>
      </c>
      <c r="P542">
        <v>0</v>
      </c>
      <c r="Q542" t="str">
        <f>"80"</f>
        <v>80</v>
      </c>
    </row>
    <row r="543" spans="1:17" x14ac:dyDescent="0.2">
      <c r="A543" t="str">
        <f>"Unknown"</f>
        <v>Unknown</v>
      </c>
      <c r="B543" t="str">
        <f>"NPOC/TN"</f>
        <v>NPOC/TN</v>
      </c>
      <c r="C543" t="str">
        <f>"1090"</f>
        <v>1090</v>
      </c>
      <c r="D543" t="str">
        <f>"53"</f>
        <v>53</v>
      </c>
      <c r="E543" t="str">
        <f>"C:\TOC3201\Methods\Itamar\acid_sample.met"</f>
        <v>C:\TOC3201\Methods\Itamar\acid_sample.met</v>
      </c>
      <c r="F543" t="str">
        <f>"C:\TOC3201\CalCurves\Itamar\C_cal_100ppm_acid_laurel.2019_08_15_10_24_40.cal"</f>
        <v>C:\TOC3201\CalCurves\Itamar\C_cal_100ppm_acid_laurel.2019_08_15_10_24_40.cal</v>
      </c>
      <c r="G543">
        <v>1</v>
      </c>
      <c r="H543" t="str">
        <f>""</f>
        <v/>
      </c>
      <c r="I543" t="str">
        <f>"8/16/2019 12:12:02 PM"</f>
        <v>8/16/2019 12:12:02 PM</v>
      </c>
      <c r="J543" t="str">
        <f>"1"</f>
        <v>1</v>
      </c>
      <c r="K543" t="str">
        <f>"1"</f>
        <v>1</v>
      </c>
      <c r="L543" t="str">
        <f>"NPOC"</f>
        <v>NPOC</v>
      </c>
      <c r="M543" t="str">
        <f>"32.10"</f>
        <v>32.10</v>
      </c>
      <c r="N543" t="str">
        <f>"6.652"</f>
        <v>6.652</v>
      </c>
      <c r="O543" t="str">
        <f>"NPOC:6.568mg/L TN:0.6744mg/L"</f>
        <v>NPOC:6.568mg/L TN:0.6744mg/L</v>
      </c>
      <c r="P543">
        <v>0</v>
      </c>
      <c r="Q543" t="str">
        <f>"80"</f>
        <v>80</v>
      </c>
    </row>
    <row r="544" spans="1:17" x14ac:dyDescent="0.2">
      <c r="A544" t="str">
        <f>"Unknown"</f>
        <v>Unknown</v>
      </c>
      <c r="B544" t="str">
        <f>"NPOC/TN"</f>
        <v>NPOC/TN</v>
      </c>
      <c r="C544" t="str">
        <f>"1090"</f>
        <v>1090</v>
      </c>
      <c r="D544" t="str">
        <f>"53"</f>
        <v>53</v>
      </c>
      <c r="E544" t="str">
        <f>"C:\TOC3201\Methods\Itamar\acid_sample.met"</f>
        <v>C:\TOC3201\Methods\Itamar\acid_sample.met</v>
      </c>
      <c r="F544" t="str">
        <f>"C:\TOC3201\CalCurves\Itamar\C_cal_100ppm_acid_laurel.2019_08_15_10_24_40.cal"</f>
        <v>C:\TOC3201\CalCurves\Itamar\C_cal_100ppm_acid_laurel.2019_08_15_10_24_40.cal</v>
      </c>
      <c r="G544">
        <v>1</v>
      </c>
      <c r="H544" t="str">
        <f>""</f>
        <v/>
      </c>
      <c r="I544" t="str">
        <f>"8/16/2019 12:15:13 PM"</f>
        <v>8/16/2019 12:15:13 PM</v>
      </c>
      <c r="J544" t="str">
        <f>"1"</f>
        <v>1</v>
      </c>
      <c r="K544" t="str">
        <f>"2"</f>
        <v>2</v>
      </c>
      <c r="L544" t="str">
        <f>"NPOC"</f>
        <v>NPOC</v>
      </c>
      <c r="M544" t="str">
        <f>"31.33"</f>
        <v>31.33</v>
      </c>
      <c r="N544" t="str">
        <f>"6.494"</f>
        <v>6.494</v>
      </c>
      <c r="O544" t="str">
        <f>"NPOC:6.568mg/L TN:0.6744mg/L"</f>
        <v>NPOC:6.568mg/L TN:0.6744mg/L</v>
      </c>
      <c r="P544">
        <v>0</v>
      </c>
      <c r="Q544" t="str">
        <f>"80"</f>
        <v>80</v>
      </c>
    </row>
    <row r="545" spans="1:17" x14ac:dyDescent="0.2">
      <c r="A545" t="str">
        <f>"Unknown"</f>
        <v>Unknown</v>
      </c>
      <c r="B545" t="str">
        <f>"NPOC/TN"</f>
        <v>NPOC/TN</v>
      </c>
      <c r="C545" t="str">
        <f>"1090"</f>
        <v>1090</v>
      </c>
      <c r="D545" t="str">
        <f>"53"</f>
        <v>53</v>
      </c>
      <c r="E545" t="str">
        <f>"C:\TOC3201\Methods\Itamar\acid_sample.met"</f>
        <v>C:\TOC3201\Methods\Itamar\acid_sample.met</v>
      </c>
      <c r="F545" t="str">
        <f>"C:\TOC3201\CalCurves\Itamar\C_cal_100ppm_acid_laurel.2019_08_15_10_24_40.cal"</f>
        <v>C:\TOC3201\CalCurves\Itamar\C_cal_100ppm_acid_laurel.2019_08_15_10_24_40.cal</v>
      </c>
      <c r="G545">
        <v>1</v>
      </c>
      <c r="H545" t="str">
        <f>""</f>
        <v/>
      </c>
      <c r="I545" t="str">
        <f>"8/16/2019 12:18:32 PM"</f>
        <v>8/16/2019 12:18:32 PM</v>
      </c>
      <c r="J545" t="str">
        <f>"1"</f>
        <v>1</v>
      </c>
      <c r="K545" t="str">
        <f>"3"</f>
        <v>3</v>
      </c>
      <c r="L545" t="str">
        <f>"NPOC"</f>
        <v>NPOC</v>
      </c>
      <c r="M545" t="str">
        <f>"33.42"</f>
        <v>33.42</v>
      </c>
      <c r="N545" t="str">
        <f>"6.923"</f>
        <v>6.923</v>
      </c>
      <c r="O545" t="str">
        <f>"NPOC:6.568mg/L TN:0.6744mg/L"</f>
        <v>NPOC:6.568mg/L TN:0.6744mg/L</v>
      </c>
      <c r="P545">
        <v>1</v>
      </c>
      <c r="Q545" t="str">
        <f>"80"</f>
        <v>80</v>
      </c>
    </row>
    <row r="546" spans="1:17" x14ac:dyDescent="0.2">
      <c r="A546" t="str">
        <f>"Unknown"</f>
        <v>Unknown</v>
      </c>
      <c r="B546" t="str">
        <f>"NPOC/TN"</f>
        <v>NPOC/TN</v>
      </c>
      <c r="C546" t="str">
        <f>"1090"</f>
        <v>1090</v>
      </c>
      <c r="D546" t="str">
        <f>"53"</f>
        <v>53</v>
      </c>
      <c r="E546" t="str">
        <f>"C:\TOC3201\Methods\Itamar\acid_sample.met"</f>
        <v>C:\TOC3201\Methods\Itamar\acid_sample.met</v>
      </c>
      <c r="F546" t="str">
        <f>"C:\TOC3201\CalCurves\Itamar\C_cal_100ppm_acid_laurel.2019_08_15_10_24_40.cal"</f>
        <v>C:\TOC3201\CalCurves\Itamar\C_cal_100ppm_acid_laurel.2019_08_15_10_24_40.cal</v>
      </c>
      <c r="G546">
        <v>1</v>
      </c>
      <c r="H546" t="str">
        <f>""</f>
        <v/>
      </c>
      <c r="I546" t="str">
        <f>"8/16/2019 12:21:48 PM"</f>
        <v>8/16/2019 12:21:48 PM</v>
      </c>
      <c r="J546" t="str">
        <f>"1"</f>
        <v>1</v>
      </c>
      <c r="K546" t="str">
        <f>"4"</f>
        <v>4</v>
      </c>
      <c r="L546" t="str">
        <f>"NPOC"</f>
        <v>NPOC</v>
      </c>
      <c r="M546" t="str">
        <f>"33.02"</f>
        <v>33.02</v>
      </c>
      <c r="N546" t="str">
        <f>"6.841"</f>
        <v>6.841</v>
      </c>
      <c r="O546" t="str">
        <f>"NPOC:6.568mg/L TN:0.6744mg/L"</f>
        <v>NPOC:6.568mg/L TN:0.6744mg/L</v>
      </c>
      <c r="P546">
        <v>1</v>
      </c>
      <c r="Q546" t="str">
        <f>"80"</f>
        <v>80</v>
      </c>
    </row>
    <row r="547" spans="1:17" x14ac:dyDescent="0.2">
      <c r="A547" t="str">
        <f>"Unknown"</f>
        <v>Unknown</v>
      </c>
      <c r="B547" t="str">
        <f>"NPOC/TN"</f>
        <v>NPOC/TN</v>
      </c>
      <c r="C547" t="str">
        <f>"1090"</f>
        <v>1090</v>
      </c>
      <c r="D547" t="str">
        <f>"53"</f>
        <v>53</v>
      </c>
      <c r="E547" t="str">
        <f>"C:\TOC3201\Methods\Itamar\acid_sample.met"</f>
        <v>C:\TOC3201\Methods\Itamar\acid_sample.met</v>
      </c>
      <c r="F547" t="str">
        <f>"C:\TOC3201\CalCurves\Itamar\C_cal_100ppm_acid_laurel.2019_08_15_10_24_40.cal"</f>
        <v>C:\TOC3201\CalCurves\Itamar\C_cal_100ppm_acid_laurel.2019_08_15_10_24_40.cal</v>
      </c>
      <c r="G547">
        <v>1</v>
      </c>
      <c r="H547" t="str">
        <f>""</f>
        <v/>
      </c>
      <c r="I547" t="str">
        <f>"8/16/2019 12:25:01 PM"</f>
        <v>8/16/2019 12:25:01 PM</v>
      </c>
      <c r="J547" t="str">
        <f>"1"</f>
        <v>1</v>
      </c>
      <c r="K547" t="str">
        <f>"5"</f>
        <v>5</v>
      </c>
      <c r="L547" t="str">
        <f>"NPOC"</f>
        <v>NPOC</v>
      </c>
      <c r="M547" t="str">
        <f>"31.65"</f>
        <v>31.65</v>
      </c>
      <c r="N547" t="str">
        <f>"6.559"</f>
        <v>6.559</v>
      </c>
      <c r="O547" t="str">
        <f>"NPOC:6.568mg/L TN:0.6744mg/L"</f>
        <v>NPOC:6.568mg/L TN:0.6744mg/L</v>
      </c>
      <c r="P547">
        <v>0</v>
      </c>
      <c r="Q547" t="str">
        <f>"80"</f>
        <v>80</v>
      </c>
    </row>
    <row r="548" spans="1:17" x14ac:dyDescent="0.2">
      <c r="A548" t="str">
        <f>"Unknown"</f>
        <v>Unknown</v>
      </c>
      <c r="B548" t="str">
        <f>"NPOC/TN"</f>
        <v>NPOC/TN</v>
      </c>
      <c r="C548" t="str">
        <f>"1090"</f>
        <v>1090</v>
      </c>
      <c r="D548" t="str">
        <f>"53"</f>
        <v>53</v>
      </c>
      <c r="E548" t="str">
        <f>"C:\TOC3201\Methods\Itamar\acid_sample.met"</f>
        <v>C:\TOC3201\Methods\Itamar\acid_sample.met</v>
      </c>
      <c r="F548" t="str">
        <f>"C:\TOC3201\CalCurves\Itamar\N_cal_25ppm_acid_laurel.2019_08_15_12_20_41.cal"</f>
        <v>C:\TOC3201\CalCurves\Itamar\N_cal_25ppm_acid_laurel.2019_08_15_12_20_41.cal</v>
      </c>
      <c r="G548">
        <v>1</v>
      </c>
      <c r="H548" t="str">
        <f>""</f>
        <v/>
      </c>
      <c r="I548" t="str">
        <f>"8/16/2019 12:12:02 PM"</f>
        <v>8/16/2019 12:12:02 PM</v>
      </c>
      <c r="J548" t="str">
        <f>"1"</f>
        <v>1</v>
      </c>
      <c r="K548" t="str">
        <f>"1"</f>
        <v>1</v>
      </c>
      <c r="L548" t="str">
        <f>"TN"</f>
        <v>TN</v>
      </c>
      <c r="M548" t="str">
        <f>"1.967"</f>
        <v>1.967</v>
      </c>
      <c r="N548" t="str">
        <f>"0.6621"</f>
        <v>0.6621</v>
      </c>
      <c r="O548" t="str">
        <f>"NPOC:6.568mg/L TN:0.6744mg/L"</f>
        <v>NPOC:6.568mg/L TN:0.6744mg/L</v>
      </c>
      <c r="P548">
        <v>0</v>
      </c>
      <c r="Q548" t="str">
        <f>"80"</f>
        <v>80</v>
      </c>
    </row>
    <row r="549" spans="1:17" x14ac:dyDescent="0.2">
      <c r="A549" t="str">
        <f>"Unknown"</f>
        <v>Unknown</v>
      </c>
      <c r="B549" t="str">
        <f>"NPOC/TN"</f>
        <v>NPOC/TN</v>
      </c>
      <c r="C549" t="str">
        <f>"1090"</f>
        <v>1090</v>
      </c>
      <c r="D549" t="str">
        <f>"53"</f>
        <v>53</v>
      </c>
      <c r="E549" t="str">
        <f>"C:\TOC3201\Methods\Itamar\acid_sample.met"</f>
        <v>C:\TOC3201\Methods\Itamar\acid_sample.met</v>
      </c>
      <c r="F549" t="str">
        <f>"C:\TOC3201\CalCurves\Itamar\N_cal_25ppm_acid_laurel.2019_08_15_12_20_41.cal"</f>
        <v>C:\TOC3201\CalCurves\Itamar\N_cal_25ppm_acid_laurel.2019_08_15_12_20_41.cal</v>
      </c>
      <c r="G549">
        <v>1</v>
      </c>
      <c r="H549" t="str">
        <f>""</f>
        <v/>
      </c>
      <c r="I549" t="str">
        <f>"8/16/2019 12:15:13 PM"</f>
        <v>8/16/2019 12:15:13 PM</v>
      </c>
      <c r="J549" t="str">
        <f>"1"</f>
        <v>1</v>
      </c>
      <c r="K549" t="str">
        <f>"2"</f>
        <v>2</v>
      </c>
      <c r="L549" t="str">
        <f>"TN"</f>
        <v>TN</v>
      </c>
      <c r="M549" t="str">
        <f>"1.734"</f>
        <v>1.734</v>
      </c>
      <c r="N549" t="str">
        <f>"0.6027"</f>
        <v>0.6027</v>
      </c>
      <c r="O549" t="str">
        <f>"NPOC:6.568mg/L TN:0.6744mg/L"</f>
        <v>NPOC:6.568mg/L TN:0.6744mg/L</v>
      </c>
      <c r="P549">
        <v>1</v>
      </c>
      <c r="Q549" t="str">
        <f>"80"</f>
        <v>80</v>
      </c>
    </row>
    <row r="550" spans="1:17" x14ac:dyDescent="0.2">
      <c r="A550" t="str">
        <f>"Unknown"</f>
        <v>Unknown</v>
      </c>
      <c r="B550" t="str">
        <f>"NPOC/TN"</f>
        <v>NPOC/TN</v>
      </c>
      <c r="C550" t="str">
        <f>"1090"</f>
        <v>1090</v>
      </c>
      <c r="D550" t="str">
        <f>"53"</f>
        <v>53</v>
      </c>
      <c r="E550" t="str">
        <f>"C:\TOC3201\Methods\Itamar\acid_sample.met"</f>
        <v>C:\TOC3201\Methods\Itamar\acid_sample.met</v>
      </c>
      <c r="F550" t="str">
        <f>"C:\TOC3201\CalCurves\Itamar\N_cal_25ppm_acid_laurel.2019_08_15_12_20_41.cal"</f>
        <v>C:\TOC3201\CalCurves\Itamar\N_cal_25ppm_acid_laurel.2019_08_15_12_20_41.cal</v>
      </c>
      <c r="G550">
        <v>1</v>
      </c>
      <c r="H550" t="str">
        <f>""</f>
        <v/>
      </c>
      <c r="I550" t="str">
        <f>"8/16/2019 12:18:32 PM"</f>
        <v>8/16/2019 12:18:32 PM</v>
      </c>
      <c r="J550" t="str">
        <f>"1"</f>
        <v>1</v>
      </c>
      <c r="K550" t="str">
        <f>"3"</f>
        <v>3</v>
      </c>
      <c r="L550" t="str">
        <f>"TN"</f>
        <v>TN</v>
      </c>
      <c r="M550" t="str">
        <f>"2.095"</f>
        <v>2.095</v>
      </c>
      <c r="N550" t="str">
        <f>"0.6947"</f>
        <v>0.6947</v>
      </c>
      <c r="O550" t="str">
        <f>"NPOC:6.568mg/L TN:0.6744mg/L"</f>
        <v>NPOC:6.568mg/L TN:0.6744mg/L</v>
      </c>
      <c r="P550">
        <v>0</v>
      </c>
      <c r="Q550" t="str">
        <f>"80"</f>
        <v>80</v>
      </c>
    </row>
    <row r="551" spans="1:17" x14ac:dyDescent="0.2">
      <c r="A551" t="str">
        <f>"Unknown"</f>
        <v>Unknown</v>
      </c>
      <c r="B551" t="str">
        <f>"NPOC/TN"</f>
        <v>NPOC/TN</v>
      </c>
      <c r="C551" t="str">
        <f>"1090"</f>
        <v>1090</v>
      </c>
      <c r="D551" t="str">
        <f>"53"</f>
        <v>53</v>
      </c>
      <c r="E551" t="str">
        <f>"C:\TOC3201\Methods\Itamar\acid_sample.met"</f>
        <v>C:\TOC3201\Methods\Itamar\acid_sample.met</v>
      </c>
      <c r="F551" t="str">
        <f>"C:\TOC3201\CalCurves\Itamar\N_cal_25ppm_acid_laurel.2019_08_15_12_20_41.cal"</f>
        <v>C:\TOC3201\CalCurves\Itamar\N_cal_25ppm_acid_laurel.2019_08_15_12_20_41.cal</v>
      </c>
      <c r="G551">
        <v>1</v>
      </c>
      <c r="H551" t="str">
        <f>""</f>
        <v/>
      </c>
      <c r="I551" t="str">
        <f>"8/16/2019 12:21:48 PM"</f>
        <v>8/16/2019 12:21:48 PM</v>
      </c>
      <c r="J551" t="str">
        <f>"1"</f>
        <v>1</v>
      </c>
      <c r="K551" t="str">
        <f>"4"</f>
        <v>4</v>
      </c>
      <c r="L551" t="str">
        <f>"TN"</f>
        <v>TN</v>
      </c>
      <c r="M551" t="str">
        <f>"2.239"</f>
        <v>2.239</v>
      </c>
      <c r="N551" t="str">
        <f>"0.7314"</f>
        <v>0.7314</v>
      </c>
      <c r="O551" t="str">
        <f>"NPOC:6.568mg/L TN:0.6744mg/L"</f>
        <v>NPOC:6.568mg/L TN:0.6744mg/L</v>
      </c>
      <c r="P551">
        <v>1</v>
      </c>
      <c r="Q551" t="str">
        <f>"80"</f>
        <v>80</v>
      </c>
    </row>
    <row r="552" spans="1:17" x14ac:dyDescent="0.2">
      <c r="A552" t="str">
        <f>"Unknown"</f>
        <v>Unknown</v>
      </c>
      <c r="B552" t="str">
        <f>"NPOC/TN"</f>
        <v>NPOC/TN</v>
      </c>
      <c r="C552" t="str">
        <f>"1090"</f>
        <v>1090</v>
      </c>
      <c r="D552" t="str">
        <f>"53"</f>
        <v>53</v>
      </c>
      <c r="E552" t="str">
        <f>"C:\TOC3201\Methods\Itamar\acid_sample.met"</f>
        <v>C:\TOC3201\Methods\Itamar\acid_sample.met</v>
      </c>
      <c r="F552" t="str">
        <f>"C:\TOC3201\CalCurves\Itamar\N_cal_25ppm_acid_laurel.2019_08_15_12_20_41.cal"</f>
        <v>C:\TOC3201\CalCurves\Itamar\N_cal_25ppm_acid_laurel.2019_08_15_12_20_41.cal</v>
      </c>
      <c r="G552">
        <v>1</v>
      </c>
      <c r="H552" t="str">
        <f>""</f>
        <v/>
      </c>
      <c r="I552" t="str">
        <f>"8/16/2019 12:25:01 PM"</f>
        <v>8/16/2019 12:25:01 PM</v>
      </c>
      <c r="J552" t="str">
        <f>"1"</f>
        <v>1</v>
      </c>
      <c r="K552" t="str">
        <f>"5"</f>
        <v>5</v>
      </c>
      <c r="L552" t="str">
        <f>"TN"</f>
        <v>TN</v>
      </c>
      <c r="M552" t="str">
        <f>"1.984"</f>
        <v>1.984</v>
      </c>
      <c r="N552" t="str">
        <f>"0.6664"</f>
        <v>0.6664</v>
      </c>
      <c r="O552" t="str">
        <f>"NPOC:6.568mg/L TN:0.6744mg/L"</f>
        <v>NPOC:6.568mg/L TN:0.6744mg/L</v>
      </c>
      <c r="P552">
        <v>0</v>
      </c>
      <c r="Q552" t="str">
        <f>"80"</f>
        <v>80</v>
      </c>
    </row>
    <row r="553" spans="1:17" x14ac:dyDescent="0.2">
      <c r="A553" t="str">
        <f>"Unknown"</f>
        <v>Unknown</v>
      </c>
      <c r="B553" t="str">
        <f>"NPOC/TN"</f>
        <v>NPOC/TN</v>
      </c>
      <c r="C553" t="str">
        <f>"1092"</f>
        <v>1092</v>
      </c>
      <c r="D553" t="str">
        <f>"54"</f>
        <v>54</v>
      </c>
      <c r="E553" t="str">
        <f>"C:\TOC3201\Methods\Itamar\acid_sample.met"</f>
        <v>C:\TOC3201\Methods\Itamar\acid_sample.met</v>
      </c>
      <c r="F553" t="str">
        <f>"C:\TOC3201\CalCurves\Itamar\C_cal_100ppm_acid_laurel.2019_08_15_10_24_40.cal"</f>
        <v>C:\TOC3201\CalCurves\Itamar\C_cal_100ppm_acid_laurel.2019_08_15_10_24_40.cal</v>
      </c>
      <c r="G553">
        <v>1</v>
      </c>
      <c r="H553" t="str">
        <f>""</f>
        <v/>
      </c>
      <c r="I553" t="str">
        <f>"8/16/2019 12:34:41 PM"</f>
        <v>8/16/2019 12:34:41 PM</v>
      </c>
      <c r="J553" t="str">
        <f>"1"</f>
        <v>1</v>
      </c>
      <c r="K553" t="str">
        <f>"1"</f>
        <v>1</v>
      </c>
      <c r="L553" t="str">
        <f>"NPOC"</f>
        <v>NPOC</v>
      </c>
      <c r="M553" t="str">
        <f>"32.71"</f>
        <v>32.71</v>
      </c>
      <c r="N553" t="str">
        <f>"6.777"</f>
        <v>6.777</v>
      </c>
      <c r="O553" t="str">
        <f>"NPOC:6.917mg/L TN:0.8089mg/L"</f>
        <v>NPOC:6.917mg/L TN:0.8089mg/L</v>
      </c>
      <c r="P553">
        <v>0</v>
      </c>
      <c r="Q553" t="str">
        <f>"80"</f>
        <v>80</v>
      </c>
    </row>
    <row r="554" spans="1:17" x14ac:dyDescent="0.2">
      <c r="A554" t="str">
        <f>"Unknown"</f>
        <v>Unknown</v>
      </c>
      <c r="B554" t="str">
        <f>"NPOC/TN"</f>
        <v>NPOC/TN</v>
      </c>
      <c r="C554" t="str">
        <f>"1092"</f>
        <v>1092</v>
      </c>
      <c r="D554" t="str">
        <f>"54"</f>
        <v>54</v>
      </c>
      <c r="E554" t="str">
        <f>"C:\TOC3201\Methods\Itamar\acid_sample.met"</f>
        <v>C:\TOC3201\Methods\Itamar\acid_sample.met</v>
      </c>
      <c r="F554" t="str">
        <f>"C:\TOC3201\CalCurves\Itamar\C_cal_100ppm_acid_laurel.2019_08_15_10_24_40.cal"</f>
        <v>C:\TOC3201\CalCurves\Itamar\C_cal_100ppm_acid_laurel.2019_08_15_10_24_40.cal</v>
      </c>
      <c r="G554">
        <v>1</v>
      </c>
      <c r="H554" t="str">
        <f>""</f>
        <v/>
      </c>
      <c r="I554" t="str">
        <f>"8/16/2019 12:37:52 PM"</f>
        <v>8/16/2019 12:37:52 PM</v>
      </c>
      <c r="J554" t="str">
        <f>"1"</f>
        <v>1</v>
      </c>
      <c r="K554" t="str">
        <f>"2"</f>
        <v>2</v>
      </c>
      <c r="L554" t="str">
        <f>"NPOC"</f>
        <v>NPOC</v>
      </c>
      <c r="M554" t="str">
        <f>"32.32"</f>
        <v>32.32</v>
      </c>
      <c r="N554" t="str">
        <f>"6.697"</f>
        <v>6.697</v>
      </c>
      <c r="O554" t="str">
        <f>"NPOC:6.917mg/L TN:0.8089mg/L"</f>
        <v>NPOC:6.917mg/L TN:0.8089mg/L</v>
      </c>
      <c r="P554">
        <v>1</v>
      </c>
      <c r="Q554" t="str">
        <f>"80"</f>
        <v>80</v>
      </c>
    </row>
    <row r="555" spans="1:17" x14ac:dyDescent="0.2">
      <c r="A555" t="str">
        <f>"Unknown"</f>
        <v>Unknown</v>
      </c>
      <c r="B555" t="str">
        <f>"NPOC/TN"</f>
        <v>NPOC/TN</v>
      </c>
      <c r="C555" t="str">
        <f>"1092"</f>
        <v>1092</v>
      </c>
      <c r="D555" t="str">
        <f>"54"</f>
        <v>54</v>
      </c>
      <c r="E555" t="str">
        <f>"C:\TOC3201\Methods\Itamar\acid_sample.met"</f>
        <v>C:\TOC3201\Methods\Itamar\acid_sample.met</v>
      </c>
      <c r="F555" t="str">
        <f>"C:\TOC3201\CalCurves\Itamar\C_cal_100ppm_acid_laurel.2019_08_15_10_24_40.cal"</f>
        <v>C:\TOC3201\CalCurves\Itamar\C_cal_100ppm_acid_laurel.2019_08_15_10_24_40.cal</v>
      </c>
      <c r="G555">
        <v>1</v>
      </c>
      <c r="H555" t="str">
        <f>""</f>
        <v/>
      </c>
      <c r="I555" t="str">
        <f>"8/16/2019 12:41:05 PM"</f>
        <v>8/16/2019 12:41:05 PM</v>
      </c>
      <c r="J555" t="str">
        <f>"1"</f>
        <v>1</v>
      </c>
      <c r="K555" t="str">
        <f>"3"</f>
        <v>3</v>
      </c>
      <c r="L555" t="str">
        <f>"NPOC"</f>
        <v>NPOC</v>
      </c>
      <c r="M555" t="str">
        <f>"33.85"</f>
        <v>33.85</v>
      </c>
      <c r="N555" t="str">
        <f>"7.011"</f>
        <v>7.011</v>
      </c>
      <c r="O555" t="str">
        <f>"NPOC:6.917mg/L TN:0.8089mg/L"</f>
        <v>NPOC:6.917mg/L TN:0.8089mg/L</v>
      </c>
      <c r="P555">
        <v>0</v>
      </c>
      <c r="Q555" t="str">
        <f>"80"</f>
        <v>80</v>
      </c>
    </row>
    <row r="556" spans="1:17" x14ac:dyDescent="0.2">
      <c r="A556" t="str">
        <f>"Unknown"</f>
        <v>Unknown</v>
      </c>
      <c r="B556" t="str">
        <f>"NPOC/TN"</f>
        <v>NPOC/TN</v>
      </c>
      <c r="C556" t="str">
        <f>"1092"</f>
        <v>1092</v>
      </c>
      <c r="D556" t="str">
        <f>"54"</f>
        <v>54</v>
      </c>
      <c r="E556" t="str">
        <f>"C:\TOC3201\Methods\Itamar\acid_sample.met"</f>
        <v>C:\TOC3201\Methods\Itamar\acid_sample.met</v>
      </c>
      <c r="F556" t="str">
        <f>"C:\TOC3201\CalCurves\Itamar\C_cal_100ppm_acid_laurel.2019_08_15_10_24_40.cal"</f>
        <v>C:\TOC3201\CalCurves\Itamar\C_cal_100ppm_acid_laurel.2019_08_15_10_24_40.cal</v>
      </c>
      <c r="G556">
        <v>1</v>
      </c>
      <c r="H556" t="str">
        <f>""</f>
        <v/>
      </c>
      <c r="I556" t="str">
        <f>"8/16/2019 12:44:22 PM"</f>
        <v>8/16/2019 12:44:22 PM</v>
      </c>
      <c r="J556" t="str">
        <f>"1"</f>
        <v>1</v>
      </c>
      <c r="K556" t="str">
        <f>"4"</f>
        <v>4</v>
      </c>
      <c r="L556" t="str">
        <f>"NPOC"</f>
        <v>NPOC</v>
      </c>
      <c r="M556" t="str">
        <f>"33.62"</f>
        <v>33.62</v>
      </c>
      <c r="N556" t="str">
        <f>"6.964"</f>
        <v>6.964</v>
      </c>
      <c r="O556" t="str">
        <f>"NPOC:6.917mg/L TN:0.8089mg/L"</f>
        <v>NPOC:6.917mg/L TN:0.8089mg/L</v>
      </c>
      <c r="P556">
        <v>0</v>
      </c>
      <c r="Q556" t="str">
        <f>"80"</f>
        <v>80</v>
      </c>
    </row>
    <row r="557" spans="1:17" x14ac:dyDescent="0.2">
      <c r="A557" t="str">
        <f>"Unknown"</f>
        <v>Unknown</v>
      </c>
      <c r="B557" t="str">
        <f>"NPOC/TN"</f>
        <v>NPOC/TN</v>
      </c>
      <c r="C557" t="str">
        <f>"1092"</f>
        <v>1092</v>
      </c>
      <c r="D557" t="str">
        <f>"54"</f>
        <v>54</v>
      </c>
      <c r="E557" t="str">
        <f>"C:\TOC3201\Methods\Itamar\acid_sample.met"</f>
        <v>C:\TOC3201\Methods\Itamar\acid_sample.met</v>
      </c>
      <c r="F557" t="str">
        <f>"C:\TOC3201\CalCurves\Itamar\N_cal_25ppm_acid_laurel.2019_08_15_12_20_41.cal"</f>
        <v>C:\TOC3201\CalCurves\Itamar\N_cal_25ppm_acid_laurel.2019_08_15_12_20_41.cal</v>
      </c>
      <c r="G557">
        <v>1</v>
      </c>
      <c r="H557" t="str">
        <f>""</f>
        <v/>
      </c>
      <c r="I557" t="str">
        <f>"8/16/2019 12:34:41 PM"</f>
        <v>8/16/2019 12:34:41 PM</v>
      </c>
      <c r="J557" t="str">
        <f>"1"</f>
        <v>1</v>
      </c>
      <c r="K557" t="str">
        <f>"1"</f>
        <v>1</v>
      </c>
      <c r="L557" t="str">
        <f>"TN"</f>
        <v>TN</v>
      </c>
      <c r="M557" t="str">
        <f>"2.201"</f>
        <v>2.201</v>
      </c>
      <c r="N557" t="str">
        <f>"0.7217"</f>
        <v>0.7217</v>
      </c>
      <c r="O557" t="str">
        <f>"NPOC:6.917mg/L TN:0.8089mg/L"</f>
        <v>NPOC:6.917mg/L TN:0.8089mg/L</v>
      </c>
      <c r="P557">
        <v>1</v>
      </c>
      <c r="Q557" t="str">
        <f>"80"</f>
        <v>80</v>
      </c>
    </row>
    <row r="558" spans="1:17" x14ac:dyDescent="0.2">
      <c r="A558" t="str">
        <f>"Unknown"</f>
        <v>Unknown</v>
      </c>
      <c r="B558" t="str">
        <f>"NPOC/TN"</f>
        <v>NPOC/TN</v>
      </c>
      <c r="C558" t="str">
        <f>"1092"</f>
        <v>1092</v>
      </c>
      <c r="D558" t="str">
        <f>"54"</f>
        <v>54</v>
      </c>
      <c r="E558" t="str">
        <f>"C:\TOC3201\Methods\Itamar\acid_sample.met"</f>
        <v>C:\TOC3201\Methods\Itamar\acid_sample.met</v>
      </c>
      <c r="F558" t="str">
        <f>"C:\TOC3201\CalCurves\Itamar\N_cal_25ppm_acid_laurel.2019_08_15_12_20_41.cal"</f>
        <v>C:\TOC3201\CalCurves\Itamar\N_cal_25ppm_acid_laurel.2019_08_15_12_20_41.cal</v>
      </c>
      <c r="G558">
        <v>1</v>
      </c>
      <c r="H558" t="str">
        <f>""</f>
        <v/>
      </c>
      <c r="I558" t="str">
        <f>"8/16/2019 12:37:52 PM"</f>
        <v>8/16/2019 12:37:52 PM</v>
      </c>
      <c r="J558" t="str">
        <f>"1"</f>
        <v>1</v>
      </c>
      <c r="K558" t="str">
        <f>"2"</f>
        <v>2</v>
      </c>
      <c r="L558" t="str">
        <f>"TN"</f>
        <v>TN</v>
      </c>
      <c r="M558" t="str">
        <f>"2.477"</f>
        <v>2.477</v>
      </c>
      <c r="N558" t="str">
        <f>"0.7920"</f>
        <v>0.7920</v>
      </c>
      <c r="O558" t="str">
        <f>"NPOC:6.917mg/L TN:0.8089mg/L"</f>
        <v>NPOC:6.917mg/L TN:0.8089mg/L</v>
      </c>
      <c r="P558">
        <v>0</v>
      </c>
      <c r="Q558" t="str">
        <f>"80"</f>
        <v>80</v>
      </c>
    </row>
    <row r="559" spans="1:17" x14ac:dyDescent="0.2">
      <c r="A559" t="str">
        <f>"Unknown"</f>
        <v>Unknown</v>
      </c>
      <c r="B559" t="str">
        <f>"NPOC/TN"</f>
        <v>NPOC/TN</v>
      </c>
      <c r="C559" t="str">
        <f>"1092"</f>
        <v>1092</v>
      </c>
      <c r="D559" t="str">
        <f>"54"</f>
        <v>54</v>
      </c>
      <c r="E559" t="str">
        <f>"C:\TOC3201\Methods\Itamar\acid_sample.met"</f>
        <v>C:\TOC3201\Methods\Itamar\acid_sample.met</v>
      </c>
      <c r="F559" t="str">
        <f>"C:\TOC3201\CalCurves\Itamar\N_cal_25ppm_acid_laurel.2019_08_15_12_20_41.cal"</f>
        <v>C:\TOC3201\CalCurves\Itamar\N_cal_25ppm_acid_laurel.2019_08_15_12_20_41.cal</v>
      </c>
      <c r="G559">
        <v>1</v>
      </c>
      <c r="H559" t="str">
        <f>""</f>
        <v/>
      </c>
      <c r="I559" t="str">
        <f>"8/16/2019 12:41:05 PM"</f>
        <v>8/16/2019 12:41:05 PM</v>
      </c>
      <c r="J559" t="str">
        <f>"1"</f>
        <v>1</v>
      </c>
      <c r="K559" t="str">
        <f>"3"</f>
        <v>3</v>
      </c>
      <c r="L559" t="str">
        <f>"TN"</f>
        <v>TN</v>
      </c>
      <c r="M559" t="str">
        <f>"2.575"</f>
        <v>2.575</v>
      </c>
      <c r="N559" t="str">
        <f>"0.8170"</f>
        <v>0.8170</v>
      </c>
      <c r="O559" t="str">
        <f>"NPOC:6.917mg/L TN:0.8089mg/L"</f>
        <v>NPOC:6.917mg/L TN:0.8089mg/L</v>
      </c>
      <c r="P559">
        <v>0</v>
      </c>
      <c r="Q559" t="str">
        <f>"80"</f>
        <v>80</v>
      </c>
    </row>
    <row r="560" spans="1:17" x14ac:dyDescent="0.2">
      <c r="A560" t="str">
        <f>"Unknown"</f>
        <v>Unknown</v>
      </c>
      <c r="B560" t="str">
        <f>"NPOC/TN"</f>
        <v>NPOC/TN</v>
      </c>
      <c r="C560" t="str">
        <f>"1092"</f>
        <v>1092</v>
      </c>
      <c r="D560" t="str">
        <f>"54"</f>
        <v>54</v>
      </c>
      <c r="E560" t="str">
        <f>"C:\TOC3201\Methods\Itamar\acid_sample.met"</f>
        <v>C:\TOC3201\Methods\Itamar\acid_sample.met</v>
      </c>
      <c r="F560" t="str">
        <f>"C:\TOC3201\CalCurves\Itamar\N_cal_25ppm_acid_laurel.2019_08_15_12_20_41.cal"</f>
        <v>C:\TOC3201\CalCurves\Itamar\N_cal_25ppm_acid_laurel.2019_08_15_12_20_41.cal</v>
      </c>
      <c r="G560">
        <v>1</v>
      </c>
      <c r="H560" t="str">
        <f>""</f>
        <v/>
      </c>
      <c r="I560" t="str">
        <f>"8/16/2019 12:44:22 PM"</f>
        <v>8/16/2019 12:44:22 PM</v>
      </c>
      <c r="J560" t="str">
        <f>"1"</f>
        <v>1</v>
      </c>
      <c r="K560" t="str">
        <f>"4"</f>
        <v>4</v>
      </c>
      <c r="L560" t="str">
        <f>"TN"</f>
        <v>TN</v>
      </c>
      <c r="M560" t="str">
        <f>"2.578"</f>
        <v>2.578</v>
      </c>
      <c r="N560" t="str">
        <f>"0.8178"</f>
        <v>0.8178</v>
      </c>
      <c r="O560" t="str">
        <f>"NPOC:6.917mg/L TN:0.8089mg/L"</f>
        <v>NPOC:6.917mg/L TN:0.8089mg/L</v>
      </c>
      <c r="P560">
        <v>0</v>
      </c>
      <c r="Q560" t="str">
        <f>"80"</f>
        <v>80</v>
      </c>
    </row>
    <row r="561" spans="1:17" x14ac:dyDescent="0.2">
      <c r="A561" t="str">
        <f>"Unknown"</f>
        <v>Unknown</v>
      </c>
      <c r="B561" t="str">
        <f>"NPOC/TN"</f>
        <v>NPOC/TN</v>
      </c>
      <c r="C561" t="str">
        <f>"1094"</f>
        <v>1094</v>
      </c>
      <c r="D561" t="str">
        <f>"55"</f>
        <v>55</v>
      </c>
      <c r="E561" t="str">
        <f>"C:\TOC3201\Methods\Itamar\acid_sample.met"</f>
        <v>C:\TOC3201\Methods\Itamar\acid_sample.met</v>
      </c>
      <c r="F561" t="str">
        <f>"C:\TOC3201\CalCurves\Itamar\C_cal_100ppm_acid_laurel.2019_08_15_10_24_40.cal"</f>
        <v>C:\TOC3201\CalCurves\Itamar\C_cal_100ppm_acid_laurel.2019_08_15_10_24_40.cal</v>
      </c>
      <c r="G561">
        <v>1</v>
      </c>
      <c r="H561" t="str">
        <f>""</f>
        <v/>
      </c>
      <c r="I561" t="str">
        <f>"8/16/2019 12:54:00 PM"</f>
        <v>8/16/2019 12:54:00 PM</v>
      </c>
      <c r="J561" t="str">
        <f>"1"</f>
        <v>1</v>
      </c>
      <c r="K561" t="str">
        <f>"1"</f>
        <v>1</v>
      </c>
      <c r="L561" t="str">
        <f>"NPOC"</f>
        <v>NPOC</v>
      </c>
      <c r="M561" t="str">
        <f>"17.86"</f>
        <v>17.86</v>
      </c>
      <c r="N561" t="str">
        <f>"3.728"</f>
        <v>3.728</v>
      </c>
      <c r="O561" t="str">
        <f>"NPOC:3.795mg/L TN:0.3748mg/L"</f>
        <v>NPOC:3.795mg/L TN:0.3748mg/L</v>
      </c>
      <c r="P561">
        <v>0</v>
      </c>
      <c r="Q561" t="str">
        <f>"80"</f>
        <v>80</v>
      </c>
    </row>
    <row r="562" spans="1:17" x14ac:dyDescent="0.2">
      <c r="A562" t="str">
        <f>"Unknown"</f>
        <v>Unknown</v>
      </c>
      <c r="B562" t="str">
        <f>"NPOC/TN"</f>
        <v>NPOC/TN</v>
      </c>
      <c r="C562" t="str">
        <f>"1094"</f>
        <v>1094</v>
      </c>
      <c r="D562" t="str">
        <f>"55"</f>
        <v>55</v>
      </c>
      <c r="E562" t="str">
        <f>"C:\TOC3201\Methods\Itamar\acid_sample.met"</f>
        <v>C:\TOC3201\Methods\Itamar\acid_sample.met</v>
      </c>
      <c r="F562" t="str">
        <f>"C:\TOC3201\CalCurves\Itamar\C_cal_100ppm_acid_laurel.2019_08_15_10_24_40.cal"</f>
        <v>C:\TOC3201\CalCurves\Itamar\C_cal_100ppm_acid_laurel.2019_08_15_10_24_40.cal</v>
      </c>
      <c r="G562">
        <v>1</v>
      </c>
      <c r="H562" t="str">
        <f>""</f>
        <v/>
      </c>
      <c r="I562" t="str">
        <f>"8/16/2019 12:57:04 PM"</f>
        <v>8/16/2019 12:57:04 PM</v>
      </c>
      <c r="J562" t="str">
        <f>"1"</f>
        <v>1</v>
      </c>
      <c r="K562" t="str">
        <f>"2"</f>
        <v>2</v>
      </c>
      <c r="L562" t="str">
        <f>"NPOC"</f>
        <v>NPOC</v>
      </c>
      <c r="M562" t="str">
        <f>"17.44"</f>
        <v>17.44</v>
      </c>
      <c r="N562" t="str">
        <f>"3.641"</f>
        <v>3.641</v>
      </c>
      <c r="O562" t="str">
        <f>"NPOC:3.795mg/L TN:0.3748mg/L"</f>
        <v>NPOC:3.795mg/L TN:0.3748mg/L</v>
      </c>
      <c r="P562">
        <v>1</v>
      </c>
      <c r="Q562" t="str">
        <f>"80"</f>
        <v>80</v>
      </c>
    </row>
    <row r="563" spans="1:17" x14ac:dyDescent="0.2">
      <c r="A563" t="str">
        <f>"Unknown"</f>
        <v>Unknown</v>
      </c>
      <c r="B563" t="str">
        <f>"NPOC/TN"</f>
        <v>NPOC/TN</v>
      </c>
      <c r="C563" t="str">
        <f>"1094"</f>
        <v>1094</v>
      </c>
      <c r="D563" t="str">
        <f>"55"</f>
        <v>55</v>
      </c>
      <c r="E563" t="str">
        <f>"C:\TOC3201\Methods\Itamar\acid_sample.met"</f>
        <v>C:\TOC3201\Methods\Itamar\acid_sample.met</v>
      </c>
      <c r="F563" t="str">
        <f>"C:\TOC3201\CalCurves\Itamar\C_cal_100ppm_acid_laurel.2019_08_15_10_24_40.cal"</f>
        <v>C:\TOC3201\CalCurves\Itamar\C_cal_100ppm_acid_laurel.2019_08_15_10_24_40.cal</v>
      </c>
      <c r="G563">
        <v>1</v>
      </c>
      <c r="H563" t="str">
        <f>""</f>
        <v/>
      </c>
      <c r="I563" t="str">
        <f>"8/16/2019 1:00:01 PM"</f>
        <v>8/16/2019 1:00:01 PM</v>
      </c>
      <c r="J563" t="str">
        <f>"1"</f>
        <v>1</v>
      </c>
      <c r="K563" t="str">
        <f>"3"</f>
        <v>3</v>
      </c>
      <c r="L563" t="str">
        <f>"NPOC"</f>
        <v>NPOC</v>
      </c>
      <c r="M563" t="str">
        <f>"18.21"</f>
        <v>18.21</v>
      </c>
      <c r="N563" t="str">
        <f>"3.799"</f>
        <v>3.799</v>
      </c>
      <c r="O563" t="str">
        <f>"NPOC:3.795mg/L TN:0.3748mg/L"</f>
        <v>NPOC:3.795mg/L TN:0.3748mg/L</v>
      </c>
      <c r="P563">
        <v>0</v>
      </c>
      <c r="Q563" t="str">
        <f>"80"</f>
        <v>80</v>
      </c>
    </row>
    <row r="564" spans="1:17" x14ac:dyDescent="0.2">
      <c r="A564" t="str">
        <f>"Unknown"</f>
        <v>Unknown</v>
      </c>
      <c r="B564" t="str">
        <f>"NPOC/TN"</f>
        <v>NPOC/TN</v>
      </c>
      <c r="C564" t="str">
        <f>"1094"</f>
        <v>1094</v>
      </c>
      <c r="D564" t="str">
        <f>"55"</f>
        <v>55</v>
      </c>
      <c r="E564" t="str">
        <f>"C:\TOC3201\Methods\Itamar\acid_sample.met"</f>
        <v>C:\TOC3201\Methods\Itamar\acid_sample.met</v>
      </c>
      <c r="F564" t="str">
        <f>"C:\TOC3201\CalCurves\Itamar\C_cal_100ppm_acid_laurel.2019_08_15_10_24_40.cal"</f>
        <v>C:\TOC3201\CalCurves\Itamar\C_cal_100ppm_acid_laurel.2019_08_15_10_24_40.cal</v>
      </c>
      <c r="G564">
        <v>1</v>
      </c>
      <c r="H564" t="str">
        <f>""</f>
        <v/>
      </c>
      <c r="I564" t="str">
        <f>"8/16/2019 1:03:02 PM"</f>
        <v>8/16/2019 1:03:02 PM</v>
      </c>
      <c r="J564" t="str">
        <f>"1"</f>
        <v>1</v>
      </c>
      <c r="K564" t="str">
        <f>"4"</f>
        <v>4</v>
      </c>
      <c r="L564" t="str">
        <f>"NPOC"</f>
        <v>NPOC</v>
      </c>
      <c r="M564" t="str">
        <f>"18.50"</f>
        <v>18.50</v>
      </c>
      <c r="N564" t="str">
        <f>"3.859"</f>
        <v>3.859</v>
      </c>
      <c r="O564" t="str">
        <f>"NPOC:3.795mg/L TN:0.3748mg/L"</f>
        <v>NPOC:3.795mg/L TN:0.3748mg/L</v>
      </c>
      <c r="P564">
        <v>0</v>
      </c>
      <c r="Q564" t="str">
        <f>"80"</f>
        <v>80</v>
      </c>
    </row>
    <row r="565" spans="1:17" x14ac:dyDescent="0.2">
      <c r="A565" t="str">
        <f>"Unknown"</f>
        <v>Unknown</v>
      </c>
      <c r="B565" t="str">
        <f>"NPOC/TN"</f>
        <v>NPOC/TN</v>
      </c>
      <c r="C565" t="str">
        <f>"1094"</f>
        <v>1094</v>
      </c>
      <c r="D565" t="str">
        <f>"55"</f>
        <v>55</v>
      </c>
      <c r="E565" t="str">
        <f>"C:\TOC3201\Methods\Itamar\acid_sample.met"</f>
        <v>C:\TOC3201\Methods\Itamar\acid_sample.met</v>
      </c>
      <c r="F565" t="str">
        <f>"C:\TOC3201\CalCurves\Itamar\N_cal_25ppm_acid_laurel.2019_08_15_12_20_41.cal"</f>
        <v>C:\TOC3201\CalCurves\Itamar\N_cal_25ppm_acid_laurel.2019_08_15_12_20_41.cal</v>
      </c>
      <c r="G565">
        <v>1</v>
      </c>
      <c r="H565" t="str">
        <f>""</f>
        <v/>
      </c>
      <c r="I565" t="str">
        <f>"8/16/2019 12:54:00 PM"</f>
        <v>8/16/2019 12:54:00 PM</v>
      </c>
      <c r="J565" t="str">
        <f>"1"</f>
        <v>1</v>
      </c>
      <c r="K565" t="str">
        <f>"1"</f>
        <v>1</v>
      </c>
      <c r="L565" t="str">
        <f>"TN"</f>
        <v>TN</v>
      </c>
      <c r="M565" t="str">
        <f>"0.9091"</f>
        <v>0.9091</v>
      </c>
      <c r="N565" t="str">
        <f>"0.3925"</f>
        <v>0.3925</v>
      </c>
      <c r="O565" t="str">
        <f>"NPOC:3.795mg/L TN:0.3748mg/L"</f>
        <v>NPOC:3.795mg/L TN:0.3748mg/L</v>
      </c>
      <c r="P565">
        <v>0</v>
      </c>
      <c r="Q565" t="str">
        <f>"80"</f>
        <v>80</v>
      </c>
    </row>
    <row r="566" spans="1:17" x14ac:dyDescent="0.2">
      <c r="A566" t="str">
        <f>"Unknown"</f>
        <v>Unknown</v>
      </c>
      <c r="B566" t="str">
        <f>"NPOC/TN"</f>
        <v>NPOC/TN</v>
      </c>
      <c r="C566" t="str">
        <f>"1094"</f>
        <v>1094</v>
      </c>
      <c r="D566" t="str">
        <f>"55"</f>
        <v>55</v>
      </c>
      <c r="E566" t="str">
        <f>"C:\TOC3201\Methods\Itamar\acid_sample.met"</f>
        <v>C:\TOC3201\Methods\Itamar\acid_sample.met</v>
      </c>
      <c r="F566" t="str">
        <f>"C:\TOC3201\CalCurves\Itamar\N_cal_25ppm_acid_laurel.2019_08_15_12_20_41.cal"</f>
        <v>C:\TOC3201\CalCurves\Itamar\N_cal_25ppm_acid_laurel.2019_08_15_12_20_41.cal</v>
      </c>
      <c r="G566">
        <v>1</v>
      </c>
      <c r="H566" t="str">
        <f>""</f>
        <v/>
      </c>
      <c r="I566" t="str">
        <f>"8/16/2019 12:57:04 PM"</f>
        <v>8/16/2019 12:57:04 PM</v>
      </c>
      <c r="J566" t="str">
        <f>"1"</f>
        <v>1</v>
      </c>
      <c r="K566" t="str">
        <f>"2"</f>
        <v>2</v>
      </c>
      <c r="L566" t="str">
        <f>"TN"</f>
        <v>TN</v>
      </c>
      <c r="M566" t="str">
        <f>"0.8786"</f>
        <v>0.8786</v>
      </c>
      <c r="N566" t="str">
        <f>"0.3848"</f>
        <v>0.3848</v>
      </c>
      <c r="O566" t="str">
        <f>"NPOC:3.795mg/L TN:0.3748mg/L"</f>
        <v>NPOC:3.795mg/L TN:0.3748mg/L</v>
      </c>
      <c r="P566">
        <v>0</v>
      </c>
      <c r="Q566" t="str">
        <f>"80"</f>
        <v>80</v>
      </c>
    </row>
    <row r="567" spans="1:17" x14ac:dyDescent="0.2">
      <c r="A567" t="str">
        <f>"Unknown"</f>
        <v>Unknown</v>
      </c>
      <c r="B567" t="str">
        <f>"NPOC/TN"</f>
        <v>NPOC/TN</v>
      </c>
      <c r="C567" t="str">
        <f>"1094"</f>
        <v>1094</v>
      </c>
      <c r="D567" t="str">
        <f>"55"</f>
        <v>55</v>
      </c>
      <c r="E567" t="str">
        <f>"C:\TOC3201\Methods\Itamar\acid_sample.met"</f>
        <v>C:\TOC3201\Methods\Itamar\acid_sample.met</v>
      </c>
      <c r="F567" t="str">
        <f>"C:\TOC3201\CalCurves\Itamar\N_cal_25ppm_acid_laurel.2019_08_15_12_20_41.cal"</f>
        <v>C:\TOC3201\CalCurves\Itamar\N_cal_25ppm_acid_laurel.2019_08_15_12_20_41.cal</v>
      </c>
      <c r="G567">
        <v>1</v>
      </c>
      <c r="H567" t="str">
        <f>""</f>
        <v/>
      </c>
      <c r="I567" t="str">
        <f>"8/16/2019 1:00:01 PM"</f>
        <v>8/16/2019 1:00:01 PM</v>
      </c>
      <c r="J567" t="str">
        <f>"1"</f>
        <v>1</v>
      </c>
      <c r="K567" t="str">
        <f>"3"</f>
        <v>3</v>
      </c>
      <c r="L567" t="str">
        <f>"TN"</f>
        <v>TN</v>
      </c>
      <c r="M567" t="str">
        <f>"0.7312"</f>
        <v>0.7312</v>
      </c>
      <c r="N567" t="str">
        <f>"0.3472"</f>
        <v>0.3472</v>
      </c>
      <c r="O567" t="str">
        <f>"NPOC:3.795mg/L TN:0.3748mg/L"</f>
        <v>NPOC:3.795mg/L TN:0.3748mg/L</v>
      </c>
      <c r="P567">
        <v>0</v>
      </c>
      <c r="Q567" t="str">
        <f>"80"</f>
        <v>80</v>
      </c>
    </row>
    <row r="568" spans="1:17" x14ac:dyDescent="0.2">
      <c r="A568" t="str">
        <f>"Unknown"</f>
        <v>Unknown</v>
      </c>
      <c r="B568" t="str">
        <f>"NPOC/TN"</f>
        <v>NPOC/TN</v>
      </c>
      <c r="C568" t="str">
        <f>"1096"</f>
        <v>1096</v>
      </c>
      <c r="D568" t="str">
        <f>"56"</f>
        <v>56</v>
      </c>
      <c r="E568" t="str">
        <f>"C:\TOC3201\Methods\Itamar\acid_sample.met"</f>
        <v>C:\TOC3201\Methods\Itamar\acid_sample.met</v>
      </c>
      <c r="F568" t="str">
        <f>"C:\TOC3201\CalCurves\Itamar\C_cal_100ppm_acid_laurel.2019_08_15_10_24_40.cal"</f>
        <v>C:\TOC3201\CalCurves\Itamar\C_cal_100ppm_acid_laurel.2019_08_15_10_24_40.cal</v>
      </c>
      <c r="G568">
        <v>1</v>
      </c>
      <c r="H568" t="str">
        <f>""</f>
        <v/>
      </c>
      <c r="I568" t="str">
        <f>"8/16/2019 1:12:39 PM"</f>
        <v>8/16/2019 1:12:39 PM</v>
      </c>
      <c r="J568" t="str">
        <f>"1"</f>
        <v>1</v>
      </c>
      <c r="K568" t="str">
        <f>"1"</f>
        <v>1</v>
      </c>
      <c r="L568" t="str">
        <f>"NPOC"</f>
        <v>NPOC</v>
      </c>
      <c r="M568" t="str">
        <f>"20.56"</f>
        <v>20.56</v>
      </c>
      <c r="N568" t="str">
        <f>"4.282"</f>
        <v>4.282</v>
      </c>
      <c r="O568" t="str">
        <f>"NPOC:4.244mg/L TN:0.3652mg/L"</f>
        <v>NPOC:4.244mg/L TN:0.3652mg/L</v>
      </c>
      <c r="P568">
        <v>0</v>
      </c>
      <c r="Q568" t="str">
        <f>"80"</f>
        <v>80</v>
      </c>
    </row>
    <row r="569" spans="1:17" x14ac:dyDescent="0.2">
      <c r="A569" t="str">
        <f>"Unknown"</f>
        <v>Unknown</v>
      </c>
      <c r="B569" t="str">
        <f>"NPOC/TN"</f>
        <v>NPOC/TN</v>
      </c>
      <c r="C569" t="str">
        <f>"1096"</f>
        <v>1096</v>
      </c>
      <c r="D569" t="str">
        <f>"56"</f>
        <v>56</v>
      </c>
      <c r="E569" t="str">
        <f>"C:\TOC3201\Methods\Itamar\acid_sample.met"</f>
        <v>C:\TOC3201\Methods\Itamar\acid_sample.met</v>
      </c>
      <c r="F569" t="str">
        <f>"C:\TOC3201\CalCurves\Itamar\C_cal_100ppm_acid_laurel.2019_08_15_10_24_40.cal"</f>
        <v>C:\TOC3201\CalCurves\Itamar\C_cal_100ppm_acid_laurel.2019_08_15_10_24_40.cal</v>
      </c>
      <c r="G569">
        <v>1</v>
      </c>
      <c r="H569" t="str">
        <f>""</f>
        <v/>
      </c>
      <c r="I569" t="str">
        <f>"8/16/2019 1:15:39 PM"</f>
        <v>8/16/2019 1:15:39 PM</v>
      </c>
      <c r="J569" t="str">
        <f>"1"</f>
        <v>1</v>
      </c>
      <c r="K569" t="str">
        <f>"2"</f>
        <v>2</v>
      </c>
      <c r="L569" t="str">
        <f>"NPOC"</f>
        <v>NPOC</v>
      </c>
      <c r="M569" t="str">
        <f>"19.96"</f>
        <v>19.96</v>
      </c>
      <c r="N569" t="str">
        <f>"4.159"</f>
        <v>4.159</v>
      </c>
      <c r="O569" t="str">
        <f>"NPOC:4.244mg/L TN:0.3652mg/L"</f>
        <v>NPOC:4.244mg/L TN:0.3652mg/L</v>
      </c>
      <c r="P569">
        <v>0</v>
      </c>
      <c r="Q569" t="str">
        <f>"80"</f>
        <v>80</v>
      </c>
    </row>
    <row r="570" spans="1:17" x14ac:dyDescent="0.2">
      <c r="A570" t="str">
        <f>"Unknown"</f>
        <v>Unknown</v>
      </c>
      <c r="B570" t="str">
        <f>"NPOC/TN"</f>
        <v>NPOC/TN</v>
      </c>
      <c r="C570" t="str">
        <f>"1096"</f>
        <v>1096</v>
      </c>
      <c r="D570" t="str">
        <f>"56"</f>
        <v>56</v>
      </c>
      <c r="E570" t="str">
        <f>"C:\TOC3201\Methods\Itamar\acid_sample.met"</f>
        <v>C:\TOC3201\Methods\Itamar\acid_sample.met</v>
      </c>
      <c r="F570" t="str">
        <f>"C:\TOC3201\CalCurves\Itamar\C_cal_100ppm_acid_laurel.2019_08_15_10_24_40.cal"</f>
        <v>C:\TOC3201\CalCurves\Itamar\C_cal_100ppm_acid_laurel.2019_08_15_10_24_40.cal</v>
      </c>
      <c r="G570">
        <v>1</v>
      </c>
      <c r="H570" t="str">
        <f>""</f>
        <v/>
      </c>
      <c r="I570" t="str">
        <f>"8/16/2019 1:18:38 PM"</f>
        <v>8/16/2019 1:18:38 PM</v>
      </c>
      <c r="J570" t="str">
        <f>"1"</f>
        <v>1</v>
      </c>
      <c r="K570" t="str">
        <f>"3"</f>
        <v>3</v>
      </c>
      <c r="L570" t="str">
        <f>"NPOC"</f>
        <v>NPOC</v>
      </c>
      <c r="M570" t="str">
        <f>"20.60"</f>
        <v>20.60</v>
      </c>
      <c r="N570" t="str">
        <f>"4.290"</f>
        <v>4.290</v>
      </c>
      <c r="O570" t="str">
        <f>"NPOC:4.244mg/L TN:0.3652mg/L"</f>
        <v>NPOC:4.244mg/L TN:0.3652mg/L</v>
      </c>
      <c r="P570">
        <v>0</v>
      </c>
      <c r="Q570" t="str">
        <f>"80"</f>
        <v>80</v>
      </c>
    </row>
    <row r="571" spans="1:17" x14ac:dyDescent="0.2">
      <c r="A571" t="str">
        <f>"Unknown"</f>
        <v>Unknown</v>
      </c>
      <c r="B571" t="str">
        <f>"NPOC/TN"</f>
        <v>NPOC/TN</v>
      </c>
      <c r="C571" t="str">
        <f>"1096"</f>
        <v>1096</v>
      </c>
      <c r="D571" t="str">
        <f>"56"</f>
        <v>56</v>
      </c>
      <c r="E571" t="str">
        <f>"C:\TOC3201\Methods\Itamar\acid_sample.met"</f>
        <v>C:\TOC3201\Methods\Itamar\acid_sample.met</v>
      </c>
      <c r="F571" t="str">
        <f>"C:\TOC3201\CalCurves\Itamar\N_cal_25ppm_acid_laurel.2019_08_15_12_20_41.cal"</f>
        <v>C:\TOC3201\CalCurves\Itamar\N_cal_25ppm_acid_laurel.2019_08_15_12_20_41.cal</v>
      </c>
      <c r="G571">
        <v>1</v>
      </c>
      <c r="H571" t="str">
        <f>""</f>
        <v/>
      </c>
      <c r="I571" t="str">
        <f>"8/16/2019 1:12:39 PM"</f>
        <v>8/16/2019 1:12:39 PM</v>
      </c>
      <c r="J571" t="str">
        <f>"1"</f>
        <v>1</v>
      </c>
      <c r="K571" t="str">
        <f>"1"</f>
        <v>1</v>
      </c>
      <c r="L571" t="str">
        <f>"TN"</f>
        <v>TN</v>
      </c>
      <c r="M571" t="str">
        <f>"0.7529"</f>
        <v>0.7529</v>
      </c>
      <c r="N571" t="str">
        <f>"0.3527"</f>
        <v>0.3527</v>
      </c>
      <c r="O571" t="str">
        <f>"NPOC:4.244mg/L TN:0.3652mg/L"</f>
        <v>NPOC:4.244mg/L TN:0.3652mg/L</v>
      </c>
      <c r="P571">
        <v>0</v>
      </c>
      <c r="Q571" t="str">
        <f>"80"</f>
        <v>80</v>
      </c>
    </row>
    <row r="572" spans="1:17" x14ac:dyDescent="0.2">
      <c r="A572" t="str">
        <f>"Unknown"</f>
        <v>Unknown</v>
      </c>
      <c r="B572" t="str">
        <f>"NPOC/TN"</f>
        <v>NPOC/TN</v>
      </c>
      <c r="C572" t="str">
        <f>"1096"</f>
        <v>1096</v>
      </c>
      <c r="D572" t="str">
        <f>"56"</f>
        <v>56</v>
      </c>
      <c r="E572" t="str">
        <f>"C:\TOC3201\Methods\Itamar\acid_sample.met"</f>
        <v>C:\TOC3201\Methods\Itamar\acid_sample.met</v>
      </c>
      <c r="F572" t="str">
        <f>"C:\TOC3201\CalCurves\Itamar\N_cal_25ppm_acid_laurel.2019_08_15_12_20_41.cal"</f>
        <v>C:\TOC3201\CalCurves\Itamar\N_cal_25ppm_acid_laurel.2019_08_15_12_20_41.cal</v>
      </c>
      <c r="G572">
        <v>1</v>
      </c>
      <c r="H572" t="str">
        <f>""</f>
        <v/>
      </c>
      <c r="I572" t="str">
        <f>"8/16/2019 1:15:39 PM"</f>
        <v>8/16/2019 1:15:39 PM</v>
      </c>
      <c r="J572" t="str">
        <f>"1"</f>
        <v>1</v>
      </c>
      <c r="K572" t="str">
        <f>"2"</f>
        <v>2</v>
      </c>
      <c r="L572" t="str">
        <f>"TN"</f>
        <v>TN</v>
      </c>
      <c r="M572" t="str">
        <f>"0.7993"</f>
        <v>0.7993</v>
      </c>
      <c r="N572" t="str">
        <f>"0.3646"</f>
        <v>0.3646</v>
      </c>
      <c r="O572" t="str">
        <f>"NPOC:4.244mg/L TN:0.3652mg/L"</f>
        <v>NPOC:4.244mg/L TN:0.3652mg/L</v>
      </c>
      <c r="P572">
        <v>0</v>
      </c>
      <c r="Q572" t="str">
        <f>"80"</f>
        <v>80</v>
      </c>
    </row>
    <row r="573" spans="1:17" x14ac:dyDescent="0.2">
      <c r="A573" t="str">
        <f>"Unknown"</f>
        <v>Unknown</v>
      </c>
      <c r="B573" t="str">
        <f>"NPOC/TN"</f>
        <v>NPOC/TN</v>
      </c>
      <c r="C573" t="str">
        <f>"1096"</f>
        <v>1096</v>
      </c>
      <c r="D573" t="str">
        <f>"56"</f>
        <v>56</v>
      </c>
      <c r="E573" t="str">
        <f>"C:\TOC3201\Methods\Itamar\acid_sample.met"</f>
        <v>C:\TOC3201\Methods\Itamar\acid_sample.met</v>
      </c>
      <c r="F573" t="str">
        <f>"C:\TOC3201\CalCurves\Itamar\N_cal_25ppm_acid_laurel.2019_08_15_12_20_41.cal"</f>
        <v>C:\TOC3201\CalCurves\Itamar\N_cal_25ppm_acid_laurel.2019_08_15_12_20_41.cal</v>
      </c>
      <c r="G573">
        <v>1</v>
      </c>
      <c r="H573" t="str">
        <f>""</f>
        <v/>
      </c>
      <c r="I573" t="str">
        <f>"8/16/2019 1:18:38 PM"</f>
        <v>8/16/2019 1:18:38 PM</v>
      </c>
      <c r="J573" t="str">
        <f>"1"</f>
        <v>1</v>
      </c>
      <c r="K573" t="str">
        <f>"3"</f>
        <v>3</v>
      </c>
      <c r="L573" t="str">
        <f>"TN"</f>
        <v>TN</v>
      </c>
      <c r="M573" t="str">
        <f>"0.3798"</f>
        <v>0.3798</v>
      </c>
      <c r="N573" t="str">
        <f>"0.2577"</f>
        <v>0.2577</v>
      </c>
      <c r="O573" t="str">
        <f>"NPOC:4.244mg/L TN:0.3652mg/L"</f>
        <v>NPOC:4.244mg/L TN:0.3652mg/L</v>
      </c>
      <c r="P573">
        <v>1</v>
      </c>
      <c r="Q573" t="str">
        <f>"80"</f>
        <v>80</v>
      </c>
    </row>
    <row r="574" spans="1:17" x14ac:dyDescent="0.2">
      <c r="A574" t="str">
        <f>"Unknown"</f>
        <v>Unknown</v>
      </c>
      <c r="B574" t="str">
        <f>"NPOC/TN"</f>
        <v>NPOC/TN</v>
      </c>
      <c r="C574" t="str">
        <f>"1096"</f>
        <v>1096</v>
      </c>
      <c r="D574" t="str">
        <f>"56"</f>
        <v>56</v>
      </c>
      <c r="E574" t="str">
        <f>"C:\TOC3201\Methods\Itamar\acid_sample.met"</f>
        <v>C:\TOC3201\Methods\Itamar\acid_sample.met</v>
      </c>
      <c r="F574" t="str">
        <f>"C:\TOC3201\CalCurves\Itamar\N_cal_25ppm_acid_laurel.2019_08_15_12_20_41.cal"</f>
        <v>C:\TOC3201\CalCurves\Itamar\N_cal_25ppm_acid_laurel.2019_08_15_12_20_41.cal</v>
      </c>
      <c r="G574">
        <v>1</v>
      </c>
      <c r="H574" t="str">
        <f>""</f>
        <v/>
      </c>
      <c r="I574" t="str">
        <f>"8/16/2019 1:21:21 PM"</f>
        <v>8/16/2019 1:21:21 PM</v>
      </c>
      <c r="J574" t="str">
        <f>"1"</f>
        <v>1</v>
      </c>
      <c r="K574" t="str">
        <f>"4"</f>
        <v>4</v>
      </c>
      <c r="L574" t="str">
        <f>"TN"</f>
        <v>TN</v>
      </c>
      <c r="M574" t="str">
        <f>"0.8529"</f>
        <v>0.8529</v>
      </c>
      <c r="N574" t="str">
        <f>"0.3782"</f>
        <v>0.3782</v>
      </c>
      <c r="O574" t="str">
        <f>"NPOC:4.244mg/L TN:0.3652mg/L"</f>
        <v>NPOC:4.244mg/L TN:0.3652mg/L</v>
      </c>
      <c r="P574">
        <v>0</v>
      </c>
      <c r="Q574" t="str">
        <f>"80"</f>
        <v>80</v>
      </c>
    </row>
    <row r="575" spans="1:17" x14ac:dyDescent="0.2">
      <c r="A575" t="str">
        <f>"Unknown"</f>
        <v>Unknown</v>
      </c>
      <c r="B575" t="str">
        <f>"NPOC/TN"</f>
        <v>NPOC/TN</v>
      </c>
      <c r="C575" t="str">
        <f>"1098"</f>
        <v>1098</v>
      </c>
      <c r="D575" t="str">
        <f>"57"</f>
        <v>57</v>
      </c>
      <c r="E575" t="str">
        <f>"C:\TOC3201\Methods\Itamar\acid_sample.met"</f>
        <v>C:\TOC3201\Methods\Itamar\acid_sample.met</v>
      </c>
      <c r="F575" t="str">
        <f>"C:\TOC3201\CalCurves\Itamar\C_cal_100ppm_acid_laurel.2019_08_15_10_24_40.cal"</f>
        <v>C:\TOC3201\CalCurves\Itamar\C_cal_100ppm_acid_laurel.2019_08_15_10_24_40.cal</v>
      </c>
      <c r="G575">
        <v>1</v>
      </c>
      <c r="H575" t="str">
        <f>""</f>
        <v/>
      </c>
      <c r="I575" t="str">
        <f>"8/16/2019 1:30:59 PM"</f>
        <v>8/16/2019 1:30:59 PM</v>
      </c>
      <c r="J575" t="str">
        <f>"1"</f>
        <v>1</v>
      </c>
      <c r="K575" t="str">
        <f>"1"</f>
        <v>1</v>
      </c>
      <c r="L575" t="str">
        <f>"NPOC"</f>
        <v>NPOC</v>
      </c>
      <c r="M575" t="str">
        <f>"19.12"</f>
        <v>19.12</v>
      </c>
      <c r="N575" t="str">
        <f>"3.986"</f>
        <v>3.986</v>
      </c>
      <c r="O575" t="str">
        <f>"NPOC:3.943mg/L TN:0.3276mg/L"</f>
        <v>NPOC:3.943mg/L TN:0.3276mg/L</v>
      </c>
      <c r="P575">
        <v>0</v>
      </c>
      <c r="Q575" t="str">
        <f>"80"</f>
        <v>80</v>
      </c>
    </row>
    <row r="576" spans="1:17" x14ac:dyDescent="0.2">
      <c r="A576" t="str">
        <f>"Unknown"</f>
        <v>Unknown</v>
      </c>
      <c r="B576" t="str">
        <f>"NPOC/TN"</f>
        <v>NPOC/TN</v>
      </c>
      <c r="C576" t="str">
        <f>"1098"</f>
        <v>1098</v>
      </c>
      <c r="D576" t="str">
        <f>"57"</f>
        <v>57</v>
      </c>
      <c r="E576" t="str">
        <f>"C:\TOC3201\Methods\Itamar\acid_sample.met"</f>
        <v>C:\TOC3201\Methods\Itamar\acid_sample.met</v>
      </c>
      <c r="F576" t="str">
        <f>"C:\TOC3201\CalCurves\Itamar\C_cal_100ppm_acid_laurel.2019_08_15_10_24_40.cal"</f>
        <v>C:\TOC3201\CalCurves\Itamar\C_cal_100ppm_acid_laurel.2019_08_15_10_24_40.cal</v>
      </c>
      <c r="G576">
        <v>1</v>
      </c>
      <c r="H576" t="str">
        <f>""</f>
        <v/>
      </c>
      <c r="I576" t="str">
        <f>"8/16/2019 1:33:59 PM"</f>
        <v>8/16/2019 1:33:59 PM</v>
      </c>
      <c r="J576" t="str">
        <f>"1"</f>
        <v>1</v>
      </c>
      <c r="K576" t="str">
        <f>"2"</f>
        <v>2</v>
      </c>
      <c r="L576" t="str">
        <f>"NPOC"</f>
        <v>NPOC</v>
      </c>
      <c r="M576" t="str">
        <f>"17.99"</f>
        <v>17.99</v>
      </c>
      <c r="N576" t="str">
        <f>"3.754"</f>
        <v>3.754</v>
      </c>
      <c r="O576" t="str">
        <f>"NPOC:3.943mg/L TN:0.3276mg/L"</f>
        <v>NPOC:3.943mg/L TN:0.3276mg/L</v>
      </c>
      <c r="P576">
        <v>1</v>
      </c>
      <c r="Q576" t="str">
        <f>"80"</f>
        <v>80</v>
      </c>
    </row>
    <row r="577" spans="1:17" x14ac:dyDescent="0.2">
      <c r="A577" t="str">
        <f>"Unknown"</f>
        <v>Unknown</v>
      </c>
      <c r="B577" t="str">
        <f>"NPOC/TN"</f>
        <v>NPOC/TN</v>
      </c>
      <c r="C577" t="str">
        <f>"1098"</f>
        <v>1098</v>
      </c>
      <c r="D577" t="str">
        <f>"57"</f>
        <v>57</v>
      </c>
      <c r="E577" t="str">
        <f>"C:\TOC3201\Methods\Itamar\acid_sample.met"</f>
        <v>C:\TOC3201\Methods\Itamar\acid_sample.met</v>
      </c>
      <c r="F577" t="str">
        <f>"C:\TOC3201\CalCurves\Itamar\C_cal_100ppm_acid_laurel.2019_08_15_10_24_40.cal"</f>
        <v>C:\TOC3201\CalCurves\Itamar\C_cal_100ppm_acid_laurel.2019_08_15_10_24_40.cal</v>
      </c>
      <c r="G577">
        <v>1</v>
      </c>
      <c r="H577" t="str">
        <f>""</f>
        <v/>
      </c>
      <c r="I577" t="str">
        <f>"8/16/2019 1:36:58 PM"</f>
        <v>8/16/2019 1:36:58 PM</v>
      </c>
      <c r="J577" t="str">
        <f>"1"</f>
        <v>1</v>
      </c>
      <c r="K577" t="str">
        <f>"3"</f>
        <v>3</v>
      </c>
      <c r="L577" t="str">
        <f>"NPOC"</f>
        <v>NPOC</v>
      </c>
      <c r="M577" t="str">
        <f>"18.74"</f>
        <v>18.74</v>
      </c>
      <c r="N577" t="str">
        <f>"3.908"</f>
        <v>3.908</v>
      </c>
      <c r="O577" t="str">
        <f>"NPOC:3.943mg/L TN:0.3276mg/L"</f>
        <v>NPOC:3.943mg/L TN:0.3276mg/L</v>
      </c>
      <c r="P577">
        <v>0</v>
      </c>
      <c r="Q577" t="str">
        <f>"80"</f>
        <v>80</v>
      </c>
    </row>
    <row r="578" spans="1:17" x14ac:dyDescent="0.2">
      <c r="A578" t="str">
        <f>"Unknown"</f>
        <v>Unknown</v>
      </c>
      <c r="B578" t="str">
        <f>"NPOC/TN"</f>
        <v>NPOC/TN</v>
      </c>
      <c r="C578" t="str">
        <f>"1098"</f>
        <v>1098</v>
      </c>
      <c r="D578" t="str">
        <f>"57"</f>
        <v>57</v>
      </c>
      <c r="E578" t="str">
        <f>"C:\TOC3201\Methods\Itamar\acid_sample.met"</f>
        <v>C:\TOC3201\Methods\Itamar\acid_sample.met</v>
      </c>
      <c r="F578" t="str">
        <f>"C:\TOC3201\CalCurves\Itamar\C_cal_100ppm_acid_laurel.2019_08_15_10_24_40.cal"</f>
        <v>C:\TOC3201\CalCurves\Itamar\C_cal_100ppm_acid_laurel.2019_08_15_10_24_40.cal</v>
      </c>
      <c r="G578">
        <v>1</v>
      </c>
      <c r="H578" t="str">
        <f>""</f>
        <v/>
      </c>
      <c r="I578" t="str">
        <f>"8/16/2019 1:40:05 PM"</f>
        <v>8/16/2019 1:40:05 PM</v>
      </c>
      <c r="J578" t="str">
        <f>"1"</f>
        <v>1</v>
      </c>
      <c r="K578" t="str">
        <f>"4"</f>
        <v>4</v>
      </c>
      <c r="L578" t="str">
        <f>"NPOC"</f>
        <v>NPOC</v>
      </c>
      <c r="M578" t="str">
        <f>"18.87"</f>
        <v>18.87</v>
      </c>
      <c r="N578" t="str">
        <f>"3.935"</f>
        <v>3.935</v>
      </c>
      <c r="O578" t="str">
        <f>"NPOC:3.943mg/L TN:0.3276mg/L"</f>
        <v>NPOC:3.943mg/L TN:0.3276mg/L</v>
      </c>
      <c r="P578">
        <v>0</v>
      </c>
      <c r="Q578" t="str">
        <f>"80"</f>
        <v>80</v>
      </c>
    </row>
    <row r="579" spans="1:17" x14ac:dyDescent="0.2">
      <c r="A579" t="str">
        <f>"Unknown"</f>
        <v>Unknown</v>
      </c>
      <c r="B579" t="str">
        <f>"NPOC/TN"</f>
        <v>NPOC/TN</v>
      </c>
      <c r="C579" t="str">
        <f>"1098"</f>
        <v>1098</v>
      </c>
      <c r="D579" t="str">
        <f>"57"</f>
        <v>57</v>
      </c>
      <c r="E579" t="str">
        <f>"C:\TOC3201\Methods\Itamar\acid_sample.met"</f>
        <v>C:\TOC3201\Methods\Itamar\acid_sample.met</v>
      </c>
      <c r="F579" t="str">
        <f>"C:\TOC3201\CalCurves\Itamar\N_cal_25ppm_acid_laurel.2019_08_15_12_20_41.cal"</f>
        <v>C:\TOC3201\CalCurves\Itamar\N_cal_25ppm_acid_laurel.2019_08_15_12_20_41.cal</v>
      </c>
      <c r="G579">
        <v>1</v>
      </c>
      <c r="H579" t="str">
        <f>""</f>
        <v/>
      </c>
      <c r="I579" t="str">
        <f>"8/16/2019 1:30:59 PM"</f>
        <v>8/16/2019 1:30:59 PM</v>
      </c>
      <c r="J579" t="str">
        <f>"1"</f>
        <v>1</v>
      </c>
      <c r="K579" t="str">
        <f>"1"</f>
        <v>1</v>
      </c>
      <c r="L579" t="str">
        <f>"TN"</f>
        <v>TN</v>
      </c>
      <c r="M579" t="str">
        <f>"1.038"</f>
        <v>1.038</v>
      </c>
      <c r="N579" t="str">
        <f>"0.4254"</f>
        <v>0.4254</v>
      </c>
      <c r="O579" t="str">
        <f>"NPOC:3.943mg/L TN:0.3276mg/L"</f>
        <v>NPOC:3.943mg/L TN:0.3276mg/L</v>
      </c>
      <c r="P579">
        <v>1</v>
      </c>
      <c r="Q579" t="str">
        <f>"80"</f>
        <v>80</v>
      </c>
    </row>
    <row r="580" spans="1:17" x14ac:dyDescent="0.2">
      <c r="A580" t="str">
        <f>"Unknown"</f>
        <v>Unknown</v>
      </c>
      <c r="B580" t="str">
        <f>"NPOC/TN"</f>
        <v>NPOC/TN</v>
      </c>
      <c r="C580" t="str">
        <f>"1098"</f>
        <v>1098</v>
      </c>
      <c r="D580" t="str">
        <f>"57"</f>
        <v>57</v>
      </c>
      <c r="E580" t="str">
        <f>"C:\TOC3201\Methods\Itamar\acid_sample.met"</f>
        <v>C:\TOC3201\Methods\Itamar\acid_sample.met</v>
      </c>
      <c r="F580" t="str">
        <f>"C:\TOC3201\CalCurves\Itamar\N_cal_25ppm_acid_laurel.2019_08_15_12_20_41.cal"</f>
        <v>C:\TOC3201\CalCurves\Itamar\N_cal_25ppm_acid_laurel.2019_08_15_12_20_41.cal</v>
      </c>
      <c r="G580">
        <v>1</v>
      </c>
      <c r="H580" t="str">
        <f>""</f>
        <v/>
      </c>
      <c r="I580" t="str">
        <f>"8/16/2019 1:33:59 PM"</f>
        <v>8/16/2019 1:33:59 PM</v>
      </c>
      <c r="J580" t="str">
        <f>"1"</f>
        <v>1</v>
      </c>
      <c r="K580" t="str">
        <f>"2"</f>
        <v>2</v>
      </c>
      <c r="L580" t="str">
        <f>"TN"</f>
        <v>TN</v>
      </c>
      <c r="M580" t="str">
        <f>"0.6293"</f>
        <v>0.6293</v>
      </c>
      <c r="N580" t="str">
        <f>"0.3212"</f>
        <v>0.3212</v>
      </c>
      <c r="O580" t="str">
        <f>"NPOC:3.943mg/L TN:0.3276mg/L"</f>
        <v>NPOC:3.943mg/L TN:0.3276mg/L</v>
      </c>
      <c r="P580">
        <v>0</v>
      </c>
      <c r="Q580" t="str">
        <f>"80"</f>
        <v>80</v>
      </c>
    </row>
    <row r="581" spans="1:17" x14ac:dyDescent="0.2">
      <c r="A581" t="str">
        <f>"Unknown"</f>
        <v>Unknown</v>
      </c>
      <c r="B581" t="str">
        <f>"NPOC/TN"</f>
        <v>NPOC/TN</v>
      </c>
      <c r="C581" t="str">
        <f>"1098"</f>
        <v>1098</v>
      </c>
      <c r="D581" t="str">
        <f>"57"</f>
        <v>57</v>
      </c>
      <c r="E581" t="str">
        <f>"C:\TOC3201\Methods\Itamar\acid_sample.met"</f>
        <v>C:\TOC3201\Methods\Itamar\acid_sample.met</v>
      </c>
      <c r="F581" t="str">
        <f>"C:\TOC3201\CalCurves\Itamar\N_cal_25ppm_acid_laurel.2019_08_15_12_20_41.cal"</f>
        <v>C:\TOC3201\CalCurves\Itamar\N_cal_25ppm_acid_laurel.2019_08_15_12_20_41.cal</v>
      </c>
      <c r="G581">
        <v>1</v>
      </c>
      <c r="H581" t="str">
        <f>""</f>
        <v/>
      </c>
      <c r="I581" t="str">
        <f>"8/16/2019 1:36:58 PM"</f>
        <v>8/16/2019 1:36:58 PM</v>
      </c>
      <c r="J581" t="str">
        <f>"1"</f>
        <v>1</v>
      </c>
      <c r="K581" t="str">
        <f>"3"</f>
        <v>3</v>
      </c>
      <c r="L581" t="str">
        <f>"TN"</f>
        <v>TN</v>
      </c>
      <c r="M581" t="str">
        <f>"0.6639"</f>
        <v>0.6639</v>
      </c>
      <c r="N581" t="str">
        <f>"0.3301"</f>
        <v>0.3301</v>
      </c>
      <c r="O581" t="str">
        <f>"NPOC:3.943mg/L TN:0.3276mg/L"</f>
        <v>NPOC:3.943mg/L TN:0.3276mg/L</v>
      </c>
      <c r="P581">
        <v>0</v>
      </c>
      <c r="Q581" t="str">
        <f>"80"</f>
        <v>80</v>
      </c>
    </row>
    <row r="582" spans="1:17" x14ac:dyDescent="0.2">
      <c r="A582" t="str">
        <f>"Unknown"</f>
        <v>Unknown</v>
      </c>
      <c r="B582" t="str">
        <f>"NPOC/TN"</f>
        <v>NPOC/TN</v>
      </c>
      <c r="C582" t="str">
        <f>"1098"</f>
        <v>1098</v>
      </c>
      <c r="D582" t="str">
        <f>"57"</f>
        <v>57</v>
      </c>
      <c r="E582" t="str">
        <f>"C:\TOC3201\Methods\Itamar\acid_sample.met"</f>
        <v>C:\TOC3201\Methods\Itamar\acid_sample.met</v>
      </c>
      <c r="F582" t="str">
        <f>"C:\TOC3201\CalCurves\Itamar\N_cal_25ppm_acid_laurel.2019_08_15_12_20_41.cal"</f>
        <v>C:\TOC3201\CalCurves\Itamar\N_cal_25ppm_acid_laurel.2019_08_15_12_20_41.cal</v>
      </c>
      <c r="G582">
        <v>1</v>
      </c>
      <c r="H582" t="str">
        <f>""</f>
        <v/>
      </c>
      <c r="I582" t="str">
        <f>"8/16/2019 1:40:05 PM"</f>
        <v>8/16/2019 1:40:05 PM</v>
      </c>
      <c r="J582" t="str">
        <f>"1"</f>
        <v>1</v>
      </c>
      <c r="K582" t="str">
        <f>"4"</f>
        <v>4</v>
      </c>
      <c r="L582" t="str">
        <f>"TN"</f>
        <v>TN</v>
      </c>
      <c r="M582" t="str">
        <f>"0.000"</f>
        <v>0.000</v>
      </c>
      <c r="N582" t="str">
        <f>"0.1609"</f>
        <v>0.1609</v>
      </c>
      <c r="O582" t="str">
        <f>"NPOC:3.943mg/L TN:0.3276mg/L"</f>
        <v>NPOC:3.943mg/L TN:0.3276mg/L</v>
      </c>
      <c r="P582">
        <v>1</v>
      </c>
      <c r="Q582" t="str">
        <f>"80"</f>
        <v>80</v>
      </c>
    </row>
    <row r="583" spans="1:17" x14ac:dyDescent="0.2">
      <c r="A583" t="str">
        <f>"Unknown"</f>
        <v>Unknown</v>
      </c>
      <c r="B583" t="str">
        <f>"NPOC/TN"</f>
        <v>NPOC/TN</v>
      </c>
      <c r="C583" t="str">
        <f>"1098"</f>
        <v>1098</v>
      </c>
      <c r="D583" t="str">
        <f>"57"</f>
        <v>57</v>
      </c>
      <c r="E583" t="str">
        <f>"C:\TOC3201\Methods\Itamar\acid_sample.met"</f>
        <v>C:\TOC3201\Methods\Itamar\acid_sample.met</v>
      </c>
      <c r="F583" t="str">
        <f>"C:\TOC3201\CalCurves\Itamar\N_cal_25ppm_acid_laurel.2019_08_15_12_20_41.cal"</f>
        <v>C:\TOC3201\CalCurves\Itamar\N_cal_25ppm_acid_laurel.2019_08_15_12_20_41.cal</v>
      </c>
      <c r="G583">
        <v>1</v>
      </c>
      <c r="H583" t="str">
        <f>""</f>
        <v/>
      </c>
      <c r="I583" t="str">
        <f>"8/16/2019 1:42:36 PM"</f>
        <v>8/16/2019 1:42:36 PM</v>
      </c>
      <c r="J583" t="str">
        <f>"1"</f>
        <v>1</v>
      </c>
      <c r="K583" t="str">
        <f>"5"</f>
        <v>5</v>
      </c>
      <c r="L583" t="str">
        <f>"TN"</f>
        <v>TN</v>
      </c>
      <c r="M583" t="str">
        <f>"0.6701"</f>
        <v>0.6701</v>
      </c>
      <c r="N583" t="str">
        <f>"0.3316"</f>
        <v>0.3316</v>
      </c>
      <c r="O583" t="str">
        <f>"NPOC:3.943mg/L TN:0.3276mg/L"</f>
        <v>NPOC:3.943mg/L TN:0.3276mg/L</v>
      </c>
      <c r="P583">
        <v>0</v>
      </c>
      <c r="Q583" t="str">
        <f>"80"</f>
        <v>80</v>
      </c>
    </row>
    <row r="584" spans="1:17" x14ac:dyDescent="0.2">
      <c r="A584" t="str">
        <f>"Unknown"</f>
        <v>Unknown</v>
      </c>
      <c r="B584" t="str">
        <f>"NPOC/TN"</f>
        <v>NPOC/TN</v>
      </c>
      <c r="C584" t="str">
        <f>"1100"</f>
        <v>1100</v>
      </c>
      <c r="D584" t="str">
        <f>"58"</f>
        <v>58</v>
      </c>
      <c r="E584" t="str">
        <f>"C:\TOC3201\Methods\Itamar\acid_sample.met"</f>
        <v>C:\TOC3201\Methods\Itamar\acid_sample.met</v>
      </c>
      <c r="F584" t="str">
        <f>"C:\TOC3201\CalCurves\Itamar\C_cal_100ppm_acid_laurel.2019_08_15_10_24_40.cal"</f>
        <v>C:\TOC3201\CalCurves\Itamar\C_cal_100ppm_acid_laurel.2019_08_15_10_24_40.cal</v>
      </c>
      <c r="G584">
        <v>1</v>
      </c>
      <c r="H584" t="str">
        <f>""</f>
        <v/>
      </c>
      <c r="I584" t="str">
        <f>"8/16/2019 1:53:23 PM"</f>
        <v>8/16/2019 1:53:23 PM</v>
      </c>
      <c r="J584" t="str">
        <f>"1"</f>
        <v>1</v>
      </c>
      <c r="K584" t="str">
        <f>"1"</f>
        <v>1</v>
      </c>
      <c r="L584" t="str">
        <f>"NPOC"</f>
        <v>NPOC</v>
      </c>
      <c r="M584" t="str">
        <f>"302.7"</f>
        <v>302.7</v>
      </c>
      <c r="N584" t="str">
        <f>"62.22"</f>
        <v>62.22</v>
      </c>
      <c r="O584" t="str">
        <f>"NPOC:63.08mg/L TN:11.15mg/L"</f>
        <v>NPOC:63.08mg/L TN:11.15mg/L</v>
      </c>
      <c r="P584">
        <v>0</v>
      </c>
      <c r="Q584" t="str">
        <f>"80"</f>
        <v>80</v>
      </c>
    </row>
    <row r="585" spans="1:17" x14ac:dyDescent="0.2">
      <c r="A585" t="str">
        <f>"Unknown"</f>
        <v>Unknown</v>
      </c>
      <c r="B585" t="str">
        <f>"NPOC/TN"</f>
        <v>NPOC/TN</v>
      </c>
      <c r="C585" t="str">
        <f>"1100"</f>
        <v>1100</v>
      </c>
      <c r="D585" t="str">
        <f>"58"</f>
        <v>58</v>
      </c>
      <c r="E585" t="str">
        <f>"C:\TOC3201\Methods\Itamar\acid_sample.met"</f>
        <v>C:\TOC3201\Methods\Itamar\acid_sample.met</v>
      </c>
      <c r="F585" t="str">
        <f>"C:\TOC3201\CalCurves\Itamar\C_cal_100ppm_acid_laurel.2019_08_15_10_24_40.cal"</f>
        <v>C:\TOC3201\CalCurves\Itamar\C_cal_100ppm_acid_laurel.2019_08_15_10_24_40.cal</v>
      </c>
      <c r="G585">
        <v>1</v>
      </c>
      <c r="H585" t="str">
        <f>""</f>
        <v/>
      </c>
      <c r="I585" t="str">
        <f>"8/16/2019 1:57:31 PM"</f>
        <v>8/16/2019 1:57:31 PM</v>
      </c>
      <c r="J585" t="str">
        <f>"1"</f>
        <v>1</v>
      </c>
      <c r="K585" t="str">
        <f>"2"</f>
        <v>2</v>
      </c>
      <c r="L585" t="str">
        <f>"NPOC"</f>
        <v>NPOC</v>
      </c>
      <c r="M585" t="str">
        <f>"292.5"</f>
        <v>292.5</v>
      </c>
      <c r="N585" t="str">
        <f>"60.13"</f>
        <v>60.13</v>
      </c>
      <c r="O585" t="str">
        <f>"NPOC:63.08mg/L TN:11.15mg/L"</f>
        <v>NPOC:63.08mg/L TN:11.15mg/L</v>
      </c>
      <c r="P585">
        <v>1</v>
      </c>
      <c r="Q585" t="str">
        <f>"80"</f>
        <v>80</v>
      </c>
    </row>
    <row r="586" spans="1:17" x14ac:dyDescent="0.2">
      <c r="A586" t="str">
        <f>"Unknown"</f>
        <v>Unknown</v>
      </c>
      <c r="B586" t="str">
        <f>"NPOC/TN"</f>
        <v>NPOC/TN</v>
      </c>
      <c r="C586" t="str">
        <f>"1100"</f>
        <v>1100</v>
      </c>
      <c r="D586" t="str">
        <f>"58"</f>
        <v>58</v>
      </c>
      <c r="E586" t="str">
        <f>"C:\TOC3201\Methods\Itamar\acid_sample.met"</f>
        <v>C:\TOC3201\Methods\Itamar\acid_sample.met</v>
      </c>
      <c r="F586" t="str">
        <f>"C:\TOC3201\CalCurves\Itamar\C_cal_100ppm_acid_laurel.2019_08_15_10_24_40.cal"</f>
        <v>C:\TOC3201\CalCurves\Itamar\C_cal_100ppm_acid_laurel.2019_08_15_10_24_40.cal</v>
      </c>
      <c r="G586">
        <v>1</v>
      </c>
      <c r="H586" t="str">
        <f>""</f>
        <v/>
      </c>
      <c r="I586" t="str">
        <f>"8/16/2019 2:01:43 PM"</f>
        <v>8/16/2019 2:01:43 PM</v>
      </c>
      <c r="J586" t="str">
        <f>"1"</f>
        <v>1</v>
      </c>
      <c r="K586" t="str">
        <f>"3"</f>
        <v>3</v>
      </c>
      <c r="L586" t="str">
        <f>"NPOC"</f>
        <v>NPOC</v>
      </c>
      <c r="M586" t="str">
        <f>"308.9"</f>
        <v>308.9</v>
      </c>
      <c r="N586" t="str">
        <f>"63.49"</f>
        <v>63.49</v>
      </c>
      <c r="O586" t="str">
        <f>"NPOC:63.08mg/L TN:11.15mg/L"</f>
        <v>NPOC:63.08mg/L TN:11.15mg/L</v>
      </c>
      <c r="P586">
        <v>0</v>
      </c>
      <c r="Q586" t="str">
        <f>"80"</f>
        <v>80</v>
      </c>
    </row>
    <row r="587" spans="1:17" x14ac:dyDescent="0.2">
      <c r="A587" t="str">
        <f>"Unknown"</f>
        <v>Unknown</v>
      </c>
      <c r="B587" t="str">
        <f>"NPOC/TN"</f>
        <v>NPOC/TN</v>
      </c>
      <c r="C587" t="str">
        <f>"1100"</f>
        <v>1100</v>
      </c>
      <c r="D587" t="str">
        <f>"58"</f>
        <v>58</v>
      </c>
      <c r="E587" t="str">
        <f>"C:\TOC3201\Methods\Itamar\acid_sample.met"</f>
        <v>C:\TOC3201\Methods\Itamar\acid_sample.met</v>
      </c>
      <c r="F587" t="str">
        <f>"C:\TOC3201\CalCurves\Itamar\C_cal_100ppm_acid_laurel.2019_08_15_10_24_40.cal"</f>
        <v>C:\TOC3201\CalCurves\Itamar\C_cal_100ppm_acid_laurel.2019_08_15_10_24_40.cal</v>
      </c>
      <c r="G587">
        <v>1</v>
      </c>
      <c r="H587" t="str">
        <f>""</f>
        <v/>
      </c>
      <c r="I587" t="str">
        <f>"8/16/2019 2:06:05 PM"</f>
        <v>8/16/2019 2:06:05 PM</v>
      </c>
      <c r="J587" t="str">
        <f>"1"</f>
        <v>1</v>
      </c>
      <c r="K587" t="str">
        <f>"4"</f>
        <v>4</v>
      </c>
      <c r="L587" t="str">
        <f>"NPOC"</f>
        <v>NPOC</v>
      </c>
      <c r="M587" t="str">
        <f>"309.0"</f>
        <v>309.0</v>
      </c>
      <c r="N587" t="str">
        <f>"63.51"</f>
        <v>63.51</v>
      </c>
      <c r="O587" t="str">
        <f>"NPOC:63.08mg/L TN:11.15mg/L"</f>
        <v>NPOC:63.08mg/L TN:11.15mg/L</v>
      </c>
      <c r="P587">
        <v>0</v>
      </c>
      <c r="Q587" t="str">
        <f>"80"</f>
        <v>80</v>
      </c>
    </row>
    <row r="588" spans="1:17" x14ac:dyDescent="0.2">
      <c r="A588" t="str">
        <f>"Unknown"</f>
        <v>Unknown</v>
      </c>
      <c r="B588" t="str">
        <f>"NPOC/TN"</f>
        <v>NPOC/TN</v>
      </c>
      <c r="C588" t="str">
        <f>"1100"</f>
        <v>1100</v>
      </c>
      <c r="D588" t="str">
        <f>"58"</f>
        <v>58</v>
      </c>
      <c r="E588" t="str">
        <f>"C:\TOC3201\Methods\Itamar\acid_sample.met"</f>
        <v>C:\TOC3201\Methods\Itamar\acid_sample.met</v>
      </c>
      <c r="F588" t="str">
        <f>"C:\TOC3201\CalCurves\Itamar\N_cal_25ppm_acid_laurel.2019_08_15_12_20_41.cal"</f>
        <v>C:\TOC3201\CalCurves\Itamar\N_cal_25ppm_acid_laurel.2019_08_15_12_20_41.cal</v>
      </c>
      <c r="G588">
        <v>1</v>
      </c>
      <c r="H588" t="str">
        <f>""</f>
        <v/>
      </c>
      <c r="I588" t="str">
        <f>"8/16/2019 1:53:23 PM"</f>
        <v>8/16/2019 1:53:23 PM</v>
      </c>
      <c r="J588" t="str">
        <f>"1"</f>
        <v>1</v>
      </c>
      <c r="K588" t="str">
        <f>"1"</f>
        <v>1</v>
      </c>
      <c r="L588" t="str">
        <f>"TN"</f>
        <v>TN</v>
      </c>
      <c r="M588" t="str">
        <f>"43.30"</f>
        <v>43.30</v>
      </c>
      <c r="N588" t="str">
        <f>"11.19"</f>
        <v>11.19</v>
      </c>
      <c r="O588" t="str">
        <f>"NPOC:63.08mg/L TN:11.15mg/L"</f>
        <v>NPOC:63.08mg/L TN:11.15mg/L</v>
      </c>
      <c r="P588">
        <v>0</v>
      </c>
      <c r="Q588" t="str">
        <f>"80"</f>
        <v>80</v>
      </c>
    </row>
    <row r="589" spans="1:17" x14ac:dyDescent="0.2">
      <c r="A589" t="str">
        <f>"Unknown"</f>
        <v>Unknown</v>
      </c>
      <c r="B589" t="str">
        <f>"NPOC/TN"</f>
        <v>NPOC/TN</v>
      </c>
      <c r="C589" t="str">
        <f>"1100"</f>
        <v>1100</v>
      </c>
      <c r="D589" t="str">
        <f>"58"</f>
        <v>58</v>
      </c>
      <c r="E589" t="str">
        <f>"C:\TOC3201\Methods\Itamar\acid_sample.met"</f>
        <v>C:\TOC3201\Methods\Itamar\acid_sample.met</v>
      </c>
      <c r="F589" t="str">
        <f>"C:\TOC3201\CalCurves\Itamar\N_cal_25ppm_acid_laurel.2019_08_15_12_20_41.cal"</f>
        <v>C:\TOC3201\CalCurves\Itamar\N_cal_25ppm_acid_laurel.2019_08_15_12_20_41.cal</v>
      </c>
      <c r="G589">
        <v>1</v>
      </c>
      <c r="H589" t="str">
        <f>""</f>
        <v/>
      </c>
      <c r="I589" t="str">
        <f>"8/16/2019 1:57:31 PM"</f>
        <v>8/16/2019 1:57:31 PM</v>
      </c>
      <c r="J589" t="str">
        <f>"1"</f>
        <v>1</v>
      </c>
      <c r="K589" t="str">
        <f>"2"</f>
        <v>2</v>
      </c>
      <c r="L589" t="str">
        <f>"TN"</f>
        <v>TN</v>
      </c>
      <c r="M589" t="str">
        <f>"42.21"</f>
        <v>42.21</v>
      </c>
      <c r="N589" t="str">
        <f>"10.92"</f>
        <v>10.92</v>
      </c>
      <c r="O589" t="str">
        <f>"NPOC:63.08mg/L TN:11.15mg/L"</f>
        <v>NPOC:63.08mg/L TN:11.15mg/L</v>
      </c>
      <c r="P589">
        <v>0</v>
      </c>
      <c r="Q589" t="str">
        <f>"80"</f>
        <v>80</v>
      </c>
    </row>
    <row r="590" spans="1:17" x14ac:dyDescent="0.2">
      <c r="A590" t="str">
        <f>"Unknown"</f>
        <v>Unknown</v>
      </c>
      <c r="B590" t="str">
        <f>"NPOC/TN"</f>
        <v>NPOC/TN</v>
      </c>
      <c r="C590" t="str">
        <f>"1100"</f>
        <v>1100</v>
      </c>
      <c r="D590" t="str">
        <f>"58"</f>
        <v>58</v>
      </c>
      <c r="E590" t="str">
        <f>"C:\TOC3201\Methods\Itamar\acid_sample.met"</f>
        <v>C:\TOC3201\Methods\Itamar\acid_sample.met</v>
      </c>
      <c r="F590" t="str">
        <f>"C:\TOC3201\CalCurves\Itamar\N_cal_25ppm_acid_laurel.2019_08_15_12_20_41.cal"</f>
        <v>C:\TOC3201\CalCurves\Itamar\N_cal_25ppm_acid_laurel.2019_08_15_12_20_41.cal</v>
      </c>
      <c r="G590">
        <v>1</v>
      </c>
      <c r="H590" t="str">
        <f>""</f>
        <v/>
      </c>
      <c r="I590" t="str">
        <f>"8/16/2019 2:01:43 PM"</f>
        <v>8/16/2019 2:01:43 PM</v>
      </c>
      <c r="J590" t="str">
        <f>"1"</f>
        <v>1</v>
      </c>
      <c r="K590" t="str">
        <f>"3"</f>
        <v>3</v>
      </c>
      <c r="L590" t="str">
        <f>"TN"</f>
        <v>TN</v>
      </c>
      <c r="M590" t="str">
        <f>"43.84"</f>
        <v>43.84</v>
      </c>
      <c r="N590" t="str">
        <f>"11.33"</f>
        <v>11.33</v>
      </c>
      <c r="O590" t="str">
        <f>"NPOC:63.08mg/L TN:11.15mg/L"</f>
        <v>NPOC:63.08mg/L TN:11.15mg/L</v>
      </c>
      <c r="P590">
        <v>0</v>
      </c>
      <c r="Q590" t="str">
        <f>"80"</f>
        <v>80</v>
      </c>
    </row>
    <row r="591" spans="1:17" x14ac:dyDescent="0.2">
      <c r="A591" t="str">
        <f>"Unknown"</f>
        <v>Unknown</v>
      </c>
      <c r="B591" t="str">
        <f>"NPOC/TN"</f>
        <v>NPOC/TN</v>
      </c>
      <c r="C591" t="str">
        <f>"1102"</f>
        <v>1102</v>
      </c>
      <c r="D591" t="str">
        <f>"59"</f>
        <v>59</v>
      </c>
      <c r="E591" t="str">
        <f>"C:\TOC3201\Methods\Itamar\acid_sample.met"</f>
        <v>C:\TOC3201\Methods\Itamar\acid_sample.met</v>
      </c>
      <c r="F591" t="str">
        <f>"C:\TOC3201\CalCurves\Itamar\C_cal_100ppm_acid_laurel.2019_08_15_10_24_40.cal"</f>
        <v>C:\TOC3201\CalCurves\Itamar\C_cal_100ppm_acid_laurel.2019_08_15_10_24_40.cal</v>
      </c>
      <c r="G591">
        <v>1</v>
      </c>
      <c r="H591" t="str">
        <f>""</f>
        <v/>
      </c>
      <c r="I591" t="str">
        <f>"8/16/2019 2:16:58 PM"</f>
        <v>8/16/2019 2:16:58 PM</v>
      </c>
      <c r="J591" t="str">
        <f>"1"</f>
        <v>1</v>
      </c>
      <c r="K591" t="str">
        <f>"1"</f>
        <v>1</v>
      </c>
      <c r="L591" t="str">
        <f>"NPOC"</f>
        <v>NPOC</v>
      </c>
      <c r="M591" t="str">
        <f>"315.2"</f>
        <v>315.2</v>
      </c>
      <c r="N591" t="str">
        <f>"64.79"</f>
        <v>64.79</v>
      </c>
      <c r="O591" t="str">
        <f>"NPOC:64.66mg/L TN:11.62mg/L"</f>
        <v>NPOC:64.66mg/L TN:11.62mg/L</v>
      </c>
      <c r="P591">
        <v>0</v>
      </c>
      <c r="Q591" t="str">
        <f>"80"</f>
        <v>80</v>
      </c>
    </row>
    <row r="592" spans="1:17" x14ac:dyDescent="0.2">
      <c r="A592" t="str">
        <f>"Unknown"</f>
        <v>Unknown</v>
      </c>
      <c r="B592" t="str">
        <f>"NPOC/TN"</f>
        <v>NPOC/TN</v>
      </c>
      <c r="C592" t="str">
        <f>"1102"</f>
        <v>1102</v>
      </c>
      <c r="D592" t="str">
        <f>"59"</f>
        <v>59</v>
      </c>
      <c r="E592" t="str">
        <f>"C:\TOC3201\Methods\Itamar\acid_sample.met"</f>
        <v>C:\TOC3201\Methods\Itamar\acid_sample.met</v>
      </c>
      <c r="F592" t="str">
        <f>"C:\TOC3201\CalCurves\Itamar\C_cal_100ppm_acid_laurel.2019_08_15_10_24_40.cal"</f>
        <v>C:\TOC3201\CalCurves\Itamar\C_cal_100ppm_acid_laurel.2019_08_15_10_24_40.cal</v>
      </c>
      <c r="G592">
        <v>1</v>
      </c>
      <c r="H592" t="str">
        <f>""</f>
        <v/>
      </c>
      <c r="I592" t="str">
        <f>"8/16/2019 2:21:07 PM"</f>
        <v>8/16/2019 2:21:07 PM</v>
      </c>
      <c r="J592" t="str">
        <f>"1"</f>
        <v>1</v>
      </c>
      <c r="K592" t="str">
        <f>"2"</f>
        <v>2</v>
      </c>
      <c r="L592" t="str">
        <f>"NPOC"</f>
        <v>NPOC</v>
      </c>
      <c r="M592" t="str">
        <f>"299.5"</f>
        <v>299.5</v>
      </c>
      <c r="N592" t="str">
        <f>"61.56"</f>
        <v>61.56</v>
      </c>
      <c r="O592" t="str">
        <f>"NPOC:64.66mg/L TN:11.62mg/L"</f>
        <v>NPOC:64.66mg/L TN:11.62mg/L</v>
      </c>
      <c r="P592">
        <v>1</v>
      </c>
      <c r="Q592" t="str">
        <f>"80"</f>
        <v>80</v>
      </c>
    </row>
    <row r="593" spans="1:17" x14ac:dyDescent="0.2">
      <c r="A593" t="str">
        <f>"Unknown"</f>
        <v>Unknown</v>
      </c>
      <c r="B593" t="str">
        <f>"NPOC/TN"</f>
        <v>NPOC/TN</v>
      </c>
      <c r="C593" t="str">
        <f>"1102"</f>
        <v>1102</v>
      </c>
      <c r="D593" t="str">
        <f>"59"</f>
        <v>59</v>
      </c>
      <c r="E593" t="str">
        <f>"C:\TOC3201\Methods\Itamar\acid_sample.met"</f>
        <v>C:\TOC3201\Methods\Itamar\acid_sample.met</v>
      </c>
      <c r="F593" t="str">
        <f>"C:\TOC3201\CalCurves\Itamar\C_cal_100ppm_acid_laurel.2019_08_15_10_24_40.cal"</f>
        <v>C:\TOC3201\CalCurves\Itamar\C_cal_100ppm_acid_laurel.2019_08_15_10_24_40.cal</v>
      </c>
      <c r="G593">
        <v>1</v>
      </c>
      <c r="H593" t="str">
        <f>""</f>
        <v/>
      </c>
      <c r="I593" t="str">
        <f>"8/16/2019 2:25:19 PM"</f>
        <v>8/16/2019 2:25:19 PM</v>
      </c>
      <c r="J593" t="str">
        <f>"1"</f>
        <v>1</v>
      </c>
      <c r="K593" t="str">
        <f>"3"</f>
        <v>3</v>
      </c>
      <c r="L593" t="str">
        <f>"NPOC"</f>
        <v>NPOC</v>
      </c>
      <c r="M593" t="str">
        <f>"310.9"</f>
        <v>310.9</v>
      </c>
      <c r="N593" t="str">
        <f>"63.90"</f>
        <v>63.90</v>
      </c>
      <c r="O593" t="str">
        <f>"NPOC:64.66mg/L TN:11.62mg/L"</f>
        <v>NPOC:64.66mg/L TN:11.62mg/L</v>
      </c>
      <c r="P593">
        <v>0</v>
      </c>
      <c r="Q593" t="str">
        <f>"80"</f>
        <v>80</v>
      </c>
    </row>
    <row r="594" spans="1:17" x14ac:dyDescent="0.2">
      <c r="A594" t="str">
        <f>"Unknown"</f>
        <v>Unknown</v>
      </c>
      <c r="B594" t="str">
        <f>"NPOC/TN"</f>
        <v>NPOC/TN</v>
      </c>
      <c r="C594" t="str">
        <f>"1102"</f>
        <v>1102</v>
      </c>
      <c r="D594" t="str">
        <f>"59"</f>
        <v>59</v>
      </c>
      <c r="E594" t="str">
        <f>"C:\TOC3201\Methods\Itamar\acid_sample.met"</f>
        <v>C:\TOC3201\Methods\Itamar\acid_sample.met</v>
      </c>
      <c r="F594" t="str">
        <f>"C:\TOC3201\CalCurves\Itamar\C_cal_100ppm_acid_laurel.2019_08_15_10_24_40.cal"</f>
        <v>C:\TOC3201\CalCurves\Itamar\C_cal_100ppm_acid_laurel.2019_08_15_10_24_40.cal</v>
      </c>
      <c r="G594">
        <v>1</v>
      </c>
      <c r="H594" t="str">
        <f>""</f>
        <v/>
      </c>
      <c r="I594" t="str">
        <f>"8/16/2019 2:29:28 PM"</f>
        <v>8/16/2019 2:29:28 PM</v>
      </c>
      <c r="J594" t="str">
        <f>"1"</f>
        <v>1</v>
      </c>
      <c r="K594" t="str">
        <f>"4"</f>
        <v>4</v>
      </c>
      <c r="L594" t="str">
        <f>"NPOC"</f>
        <v>NPOC</v>
      </c>
      <c r="M594" t="str">
        <f>"317.6"</f>
        <v>317.6</v>
      </c>
      <c r="N594" t="str">
        <f>"65.28"</f>
        <v>65.28</v>
      </c>
      <c r="O594" t="str">
        <f>"NPOC:64.66mg/L TN:11.62mg/L"</f>
        <v>NPOC:64.66mg/L TN:11.62mg/L</v>
      </c>
      <c r="P594">
        <v>0</v>
      </c>
      <c r="Q594" t="str">
        <f>"80"</f>
        <v>80</v>
      </c>
    </row>
    <row r="595" spans="1:17" x14ac:dyDescent="0.2">
      <c r="A595" t="str">
        <f>"Unknown"</f>
        <v>Unknown</v>
      </c>
      <c r="B595" t="str">
        <f>"NPOC/TN"</f>
        <v>NPOC/TN</v>
      </c>
      <c r="C595" t="str">
        <f>"1102"</f>
        <v>1102</v>
      </c>
      <c r="D595" t="str">
        <f>"59"</f>
        <v>59</v>
      </c>
      <c r="E595" t="str">
        <f>"C:\TOC3201\Methods\Itamar\acid_sample.met"</f>
        <v>C:\TOC3201\Methods\Itamar\acid_sample.met</v>
      </c>
      <c r="F595" t="str">
        <f>"C:\TOC3201\CalCurves\Itamar\N_cal_25ppm_acid_laurel.2019_08_15_12_20_41.cal"</f>
        <v>C:\TOC3201\CalCurves\Itamar\N_cal_25ppm_acid_laurel.2019_08_15_12_20_41.cal</v>
      </c>
      <c r="G595">
        <v>1</v>
      </c>
      <c r="H595" t="str">
        <f>""</f>
        <v/>
      </c>
      <c r="I595" t="str">
        <f>"8/16/2019 2:16:58 PM"</f>
        <v>8/16/2019 2:16:58 PM</v>
      </c>
      <c r="J595" t="str">
        <f>"1"</f>
        <v>1</v>
      </c>
      <c r="K595" t="str">
        <f>"1"</f>
        <v>1</v>
      </c>
      <c r="L595" t="str">
        <f>"TN"</f>
        <v>TN</v>
      </c>
      <c r="M595" t="str">
        <f>"45.45"</f>
        <v>45.45</v>
      </c>
      <c r="N595" t="str">
        <f>"11.74"</f>
        <v>11.74</v>
      </c>
      <c r="O595" t="str">
        <f>"NPOC:64.66mg/L TN:11.62mg/L"</f>
        <v>NPOC:64.66mg/L TN:11.62mg/L</v>
      </c>
      <c r="P595">
        <v>0</v>
      </c>
      <c r="Q595" t="str">
        <f>"80"</f>
        <v>80</v>
      </c>
    </row>
    <row r="596" spans="1:17" x14ac:dyDescent="0.2">
      <c r="A596" t="str">
        <f>"Unknown"</f>
        <v>Unknown</v>
      </c>
      <c r="B596" t="str">
        <f>"NPOC/TN"</f>
        <v>NPOC/TN</v>
      </c>
      <c r="C596" t="str">
        <f>"1102"</f>
        <v>1102</v>
      </c>
      <c r="D596" t="str">
        <f>"59"</f>
        <v>59</v>
      </c>
      <c r="E596" t="str">
        <f>"C:\TOC3201\Methods\Itamar\acid_sample.met"</f>
        <v>C:\TOC3201\Methods\Itamar\acid_sample.met</v>
      </c>
      <c r="F596" t="str">
        <f>"C:\TOC3201\CalCurves\Itamar\N_cal_25ppm_acid_laurel.2019_08_15_12_20_41.cal"</f>
        <v>C:\TOC3201\CalCurves\Itamar\N_cal_25ppm_acid_laurel.2019_08_15_12_20_41.cal</v>
      </c>
      <c r="G596">
        <v>1</v>
      </c>
      <c r="H596" t="str">
        <f>""</f>
        <v/>
      </c>
      <c r="I596" t="str">
        <f>"8/16/2019 2:21:07 PM"</f>
        <v>8/16/2019 2:21:07 PM</v>
      </c>
      <c r="J596" t="str">
        <f>"1"</f>
        <v>1</v>
      </c>
      <c r="K596" t="str">
        <f>"2"</f>
        <v>2</v>
      </c>
      <c r="L596" t="str">
        <f>"TN"</f>
        <v>TN</v>
      </c>
      <c r="M596" t="str">
        <f>"43.13"</f>
        <v>43.13</v>
      </c>
      <c r="N596" t="str">
        <f>"11.15"</f>
        <v>11.15</v>
      </c>
      <c r="O596" t="str">
        <f>"NPOC:64.66mg/L TN:11.62mg/L"</f>
        <v>NPOC:64.66mg/L TN:11.62mg/L</v>
      </c>
      <c r="P596">
        <v>1</v>
      </c>
      <c r="Q596" t="str">
        <f>"80"</f>
        <v>80</v>
      </c>
    </row>
    <row r="597" spans="1:17" x14ac:dyDescent="0.2">
      <c r="A597" t="str">
        <f>"Unknown"</f>
        <v>Unknown</v>
      </c>
      <c r="B597" t="str">
        <f>"NPOC/TN"</f>
        <v>NPOC/TN</v>
      </c>
      <c r="C597" t="str">
        <f>"1102"</f>
        <v>1102</v>
      </c>
      <c r="D597" t="str">
        <f>"59"</f>
        <v>59</v>
      </c>
      <c r="E597" t="str">
        <f>"C:\TOC3201\Methods\Itamar\acid_sample.met"</f>
        <v>C:\TOC3201\Methods\Itamar\acid_sample.met</v>
      </c>
      <c r="F597" t="str">
        <f>"C:\TOC3201\CalCurves\Itamar\N_cal_25ppm_acid_laurel.2019_08_15_12_20_41.cal"</f>
        <v>C:\TOC3201\CalCurves\Itamar\N_cal_25ppm_acid_laurel.2019_08_15_12_20_41.cal</v>
      </c>
      <c r="G597">
        <v>1</v>
      </c>
      <c r="H597" t="str">
        <f>""</f>
        <v/>
      </c>
      <c r="I597" t="str">
        <f>"8/16/2019 2:25:19 PM"</f>
        <v>8/16/2019 2:25:19 PM</v>
      </c>
      <c r="J597" t="str">
        <f>"1"</f>
        <v>1</v>
      </c>
      <c r="K597" t="str">
        <f>"3"</f>
        <v>3</v>
      </c>
      <c r="L597" t="str">
        <f>"TN"</f>
        <v>TN</v>
      </c>
      <c r="M597" t="str">
        <f>"44.50"</f>
        <v>44.50</v>
      </c>
      <c r="N597" t="str">
        <f>"11.50"</f>
        <v>11.50</v>
      </c>
      <c r="O597" t="str">
        <f>"NPOC:64.66mg/L TN:11.62mg/L"</f>
        <v>NPOC:64.66mg/L TN:11.62mg/L</v>
      </c>
      <c r="P597">
        <v>0</v>
      </c>
      <c r="Q597" t="str">
        <f>"80"</f>
        <v>80</v>
      </c>
    </row>
    <row r="598" spans="1:17" x14ac:dyDescent="0.2">
      <c r="A598" t="str">
        <f>"Unknown"</f>
        <v>Unknown</v>
      </c>
      <c r="B598" t="str">
        <f>"NPOC/TN"</f>
        <v>NPOC/TN</v>
      </c>
      <c r="C598" t="str">
        <f>"1102"</f>
        <v>1102</v>
      </c>
      <c r="D598" t="str">
        <f>"59"</f>
        <v>59</v>
      </c>
      <c r="E598" t="str">
        <f>"C:\TOC3201\Methods\Itamar\acid_sample.met"</f>
        <v>C:\TOC3201\Methods\Itamar\acid_sample.met</v>
      </c>
      <c r="F598" t="str">
        <f>"C:\TOC3201\CalCurves\Itamar\N_cal_25ppm_acid_laurel.2019_08_15_12_20_41.cal"</f>
        <v>C:\TOC3201\CalCurves\Itamar\N_cal_25ppm_acid_laurel.2019_08_15_12_20_41.cal</v>
      </c>
      <c r="G598">
        <v>1</v>
      </c>
      <c r="H598" t="str">
        <f>""</f>
        <v/>
      </c>
      <c r="I598" t="str">
        <f>"8/16/2019 2:29:28 PM"</f>
        <v>8/16/2019 2:29:28 PM</v>
      </c>
      <c r="J598" t="str">
        <f>"1"</f>
        <v>1</v>
      </c>
      <c r="K598" t="str">
        <f>"4"</f>
        <v>4</v>
      </c>
      <c r="L598" t="str">
        <f>"TN"</f>
        <v>TN</v>
      </c>
      <c r="M598" t="str">
        <f>"44.94"</f>
        <v>44.94</v>
      </c>
      <c r="N598" t="str">
        <f>"11.61"</f>
        <v>11.61</v>
      </c>
      <c r="O598" t="str">
        <f>"NPOC:64.66mg/L TN:11.62mg/L"</f>
        <v>NPOC:64.66mg/L TN:11.62mg/L</v>
      </c>
      <c r="P598">
        <v>0</v>
      </c>
      <c r="Q598" t="str">
        <f>"80"</f>
        <v>80</v>
      </c>
    </row>
    <row r="599" spans="1:17" x14ac:dyDescent="0.2">
      <c r="A599" t="str">
        <f>"Unknown"</f>
        <v>Unknown</v>
      </c>
      <c r="B599" t="str">
        <f>"NPOC/TN"</f>
        <v>NPOC/TN</v>
      </c>
      <c r="C599" t="str">
        <f>"1104"</f>
        <v>1104</v>
      </c>
      <c r="D599" t="str">
        <f>"60"</f>
        <v>60</v>
      </c>
      <c r="E599" t="str">
        <f>"C:\TOC3201\Methods\Itamar\acid_sample.met"</f>
        <v>C:\TOC3201\Methods\Itamar\acid_sample.met</v>
      </c>
      <c r="F599" t="str">
        <f>"C:\TOC3201\CalCurves\Itamar\C_cal_100ppm_acid_laurel.2019_08_15_10_24_40.cal"</f>
        <v>C:\TOC3201\CalCurves\Itamar\C_cal_100ppm_acid_laurel.2019_08_15_10_24_40.cal</v>
      </c>
      <c r="G599">
        <v>1</v>
      </c>
      <c r="H599" t="str">
        <f>""</f>
        <v/>
      </c>
      <c r="I599" t="str">
        <f>"8/16/2019 2:40:16 PM"</f>
        <v>8/16/2019 2:40:16 PM</v>
      </c>
      <c r="J599" t="str">
        <f>"1"</f>
        <v>1</v>
      </c>
      <c r="K599" t="str">
        <f>"1"</f>
        <v>1</v>
      </c>
      <c r="L599" t="str">
        <f>"NPOC"</f>
        <v>NPOC</v>
      </c>
      <c r="M599" t="str">
        <f>"316.4"</f>
        <v>316.4</v>
      </c>
      <c r="N599" t="str">
        <f>"65.03"</f>
        <v>65.03</v>
      </c>
      <c r="O599" t="str">
        <f>"NPOC:65.27mg/L TN:11.82mg/L"</f>
        <v>NPOC:65.27mg/L TN:11.82mg/L</v>
      </c>
      <c r="P599">
        <v>0</v>
      </c>
      <c r="Q599" t="str">
        <f>"80"</f>
        <v>80</v>
      </c>
    </row>
    <row r="600" spans="1:17" x14ac:dyDescent="0.2">
      <c r="A600" t="str">
        <f>"Unknown"</f>
        <v>Unknown</v>
      </c>
      <c r="B600" t="str">
        <f>"NPOC/TN"</f>
        <v>NPOC/TN</v>
      </c>
      <c r="C600" t="str">
        <f>"1104"</f>
        <v>1104</v>
      </c>
      <c r="D600" t="str">
        <f>"60"</f>
        <v>60</v>
      </c>
      <c r="E600" t="str">
        <f>"C:\TOC3201\Methods\Itamar\acid_sample.met"</f>
        <v>C:\TOC3201\Methods\Itamar\acid_sample.met</v>
      </c>
      <c r="F600" t="str">
        <f>"C:\TOC3201\CalCurves\Itamar\C_cal_100ppm_acid_laurel.2019_08_15_10_24_40.cal"</f>
        <v>C:\TOC3201\CalCurves\Itamar\C_cal_100ppm_acid_laurel.2019_08_15_10_24_40.cal</v>
      </c>
      <c r="G600">
        <v>1</v>
      </c>
      <c r="H600" t="str">
        <f>""</f>
        <v/>
      </c>
      <c r="I600" t="str">
        <f>"8/16/2019 2:44:41 PM"</f>
        <v>8/16/2019 2:44:41 PM</v>
      </c>
      <c r="J600" t="str">
        <f>"1"</f>
        <v>1</v>
      </c>
      <c r="K600" t="str">
        <f>"2"</f>
        <v>2</v>
      </c>
      <c r="L600" t="str">
        <f>"NPOC"</f>
        <v>NPOC</v>
      </c>
      <c r="M600" t="str">
        <f>"306.8"</f>
        <v>306.8</v>
      </c>
      <c r="N600" t="str">
        <f>"63.06"</f>
        <v>63.06</v>
      </c>
      <c r="O600" t="str">
        <f>"NPOC:65.27mg/L TN:11.82mg/L"</f>
        <v>NPOC:65.27mg/L TN:11.82mg/L</v>
      </c>
      <c r="P600">
        <v>1</v>
      </c>
      <c r="Q600" t="str">
        <f>"80"</f>
        <v>80</v>
      </c>
    </row>
    <row r="601" spans="1:17" x14ac:dyDescent="0.2">
      <c r="A601" t="str">
        <f>"Unknown"</f>
        <v>Unknown</v>
      </c>
      <c r="B601" t="str">
        <f>"NPOC/TN"</f>
        <v>NPOC/TN</v>
      </c>
      <c r="C601" t="str">
        <f>"1104"</f>
        <v>1104</v>
      </c>
      <c r="D601" t="str">
        <f>"60"</f>
        <v>60</v>
      </c>
      <c r="E601" t="str">
        <f>"C:\TOC3201\Methods\Itamar\acid_sample.met"</f>
        <v>C:\TOC3201\Methods\Itamar\acid_sample.met</v>
      </c>
      <c r="F601" t="str">
        <f>"C:\TOC3201\CalCurves\Itamar\C_cal_100ppm_acid_laurel.2019_08_15_10_24_40.cal"</f>
        <v>C:\TOC3201\CalCurves\Itamar\C_cal_100ppm_acid_laurel.2019_08_15_10_24_40.cal</v>
      </c>
      <c r="G601">
        <v>1</v>
      </c>
      <c r="H601" t="str">
        <f>""</f>
        <v/>
      </c>
      <c r="I601" t="str">
        <f>"8/16/2019 2:48:55 PM"</f>
        <v>8/16/2019 2:48:55 PM</v>
      </c>
      <c r="J601" t="str">
        <f>"1"</f>
        <v>1</v>
      </c>
      <c r="K601" t="str">
        <f>"3"</f>
        <v>3</v>
      </c>
      <c r="L601" t="str">
        <f>"NPOC"</f>
        <v>NPOC</v>
      </c>
      <c r="M601" t="str">
        <f>"322.4"</f>
        <v>322.4</v>
      </c>
      <c r="N601" t="str">
        <f>"66.27"</f>
        <v>66.27</v>
      </c>
      <c r="O601" t="str">
        <f>"NPOC:65.27mg/L TN:11.82mg/L"</f>
        <v>NPOC:65.27mg/L TN:11.82mg/L</v>
      </c>
      <c r="P601">
        <v>0</v>
      </c>
      <c r="Q601" t="str">
        <f>"80"</f>
        <v>80</v>
      </c>
    </row>
    <row r="602" spans="1:17" x14ac:dyDescent="0.2">
      <c r="A602" t="str">
        <f>"Unknown"</f>
        <v>Unknown</v>
      </c>
      <c r="B602" t="str">
        <f>"NPOC/TN"</f>
        <v>NPOC/TN</v>
      </c>
      <c r="C602" t="str">
        <f>"1104"</f>
        <v>1104</v>
      </c>
      <c r="D602" t="str">
        <f>"60"</f>
        <v>60</v>
      </c>
      <c r="E602" t="str">
        <f>"C:\TOC3201\Methods\Itamar\acid_sample.met"</f>
        <v>C:\TOC3201\Methods\Itamar\acid_sample.met</v>
      </c>
      <c r="F602" t="str">
        <f>"C:\TOC3201\CalCurves\Itamar\C_cal_100ppm_acid_laurel.2019_08_15_10_24_40.cal"</f>
        <v>C:\TOC3201\CalCurves\Itamar\C_cal_100ppm_acid_laurel.2019_08_15_10_24_40.cal</v>
      </c>
      <c r="G602">
        <v>1</v>
      </c>
      <c r="H602" t="str">
        <f>""</f>
        <v/>
      </c>
      <c r="I602" t="str">
        <f>"8/16/2019 2:53:05 PM"</f>
        <v>8/16/2019 2:53:05 PM</v>
      </c>
      <c r="J602" t="str">
        <f>"1"</f>
        <v>1</v>
      </c>
      <c r="K602" t="str">
        <f>"4"</f>
        <v>4</v>
      </c>
      <c r="L602" t="str">
        <f>"NPOC"</f>
        <v>NPOC</v>
      </c>
      <c r="M602" t="str">
        <f>"313.8"</f>
        <v>313.8</v>
      </c>
      <c r="N602" t="str">
        <f>"64.50"</f>
        <v>64.50</v>
      </c>
      <c r="O602" t="str">
        <f>"NPOC:65.27mg/L TN:11.82mg/L"</f>
        <v>NPOC:65.27mg/L TN:11.82mg/L</v>
      </c>
      <c r="P602">
        <v>0</v>
      </c>
      <c r="Q602" t="str">
        <f>"80"</f>
        <v>80</v>
      </c>
    </row>
    <row r="603" spans="1:17" x14ac:dyDescent="0.2">
      <c r="A603" t="str">
        <f>"Unknown"</f>
        <v>Unknown</v>
      </c>
      <c r="B603" t="str">
        <f>"NPOC/TN"</f>
        <v>NPOC/TN</v>
      </c>
      <c r="C603" t="str">
        <f>"1104"</f>
        <v>1104</v>
      </c>
      <c r="D603" t="str">
        <f>"60"</f>
        <v>60</v>
      </c>
      <c r="E603" t="str">
        <f>"C:\TOC3201\Methods\Itamar\acid_sample.met"</f>
        <v>C:\TOC3201\Methods\Itamar\acid_sample.met</v>
      </c>
      <c r="F603" t="str">
        <f>"C:\TOC3201\CalCurves\Itamar\N_cal_25ppm_acid_laurel.2019_08_15_12_20_41.cal"</f>
        <v>C:\TOC3201\CalCurves\Itamar\N_cal_25ppm_acid_laurel.2019_08_15_12_20_41.cal</v>
      </c>
      <c r="G603">
        <v>1</v>
      </c>
      <c r="H603" t="str">
        <f>""</f>
        <v/>
      </c>
      <c r="I603" t="str">
        <f>"8/16/2019 2:40:16 PM"</f>
        <v>8/16/2019 2:40:16 PM</v>
      </c>
      <c r="J603" t="str">
        <f>"1"</f>
        <v>1</v>
      </c>
      <c r="K603" t="str">
        <f>"1"</f>
        <v>1</v>
      </c>
      <c r="L603" t="str">
        <f>"TN"</f>
        <v>TN</v>
      </c>
      <c r="M603" t="str">
        <f>"44.92"</f>
        <v>44.92</v>
      </c>
      <c r="N603" t="str">
        <f>"11.61"</f>
        <v>11.61</v>
      </c>
      <c r="O603" t="str">
        <f>"NPOC:65.27mg/L TN:11.82mg/L"</f>
        <v>NPOC:65.27mg/L TN:11.82mg/L</v>
      </c>
      <c r="P603">
        <v>0</v>
      </c>
      <c r="Q603" t="str">
        <f>"80"</f>
        <v>80</v>
      </c>
    </row>
    <row r="604" spans="1:17" x14ac:dyDescent="0.2">
      <c r="A604" t="str">
        <f>"Unknown"</f>
        <v>Unknown</v>
      </c>
      <c r="B604" t="str">
        <f>"NPOC/TN"</f>
        <v>NPOC/TN</v>
      </c>
      <c r="C604" t="str">
        <f>"1104"</f>
        <v>1104</v>
      </c>
      <c r="D604" t="str">
        <f>"60"</f>
        <v>60</v>
      </c>
      <c r="E604" t="str">
        <f>"C:\TOC3201\Methods\Itamar\acid_sample.met"</f>
        <v>C:\TOC3201\Methods\Itamar\acid_sample.met</v>
      </c>
      <c r="F604" t="str">
        <f>"C:\TOC3201\CalCurves\Itamar\N_cal_25ppm_acid_laurel.2019_08_15_12_20_41.cal"</f>
        <v>C:\TOC3201\CalCurves\Itamar\N_cal_25ppm_acid_laurel.2019_08_15_12_20_41.cal</v>
      </c>
      <c r="G604">
        <v>1</v>
      </c>
      <c r="H604" t="str">
        <f>""</f>
        <v/>
      </c>
      <c r="I604" t="str">
        <f>"8/16/2019 2:44:41 PM"</f>
        <v>8/16/2019 2:44:41 PM</v>
      </c>
      <c r="J604" t="str">
        <f>"1"</f>
        <v>1</v>
      </c>
      <c r="K604" t="str">
        <f>"2"</f>
        <v>2</v>
      </c>
      <c r="L604" t="str">
        <f>"TN"</f>
        <v>TN</v>
      </c>
      <c r="M604" t="str">
        <f>"46.19"</f>
        <v>46.19</v>
      </c>
      <c r="N604" t="str">
        <f>"11.93"</f>
        <v>11.93</v>
      </c>
      <c r="O604" t="str">
        <f>"NPOC:65.27mg/L TN:11.82mg/L"</f>
        <v>NPOC:65.27mg/L TN:11.82mg/L</v>
      </c>
      <c r="P604">
        <v>0</v>
      </c>
      <c r="Q604" t="str">
        <f>"80"</f>
        <v>80</v>
      </c>
    </row>
    <row r="605" spans="1:17" x14ac:dyDescent="0.2">
      <c r="A605" t="str">
        <f>"Unknown"</f>
        <v>Unknown</v>
      </c>
      <c r="B605" t="str">
        <f>"NPOC/TN"</f>
        <v>NPOC/TN</v>
      </c>
      <c r="C605" t="str">
        <f>"1104"</f>
        <v>1104</v>
      </c>
      <c r="D605" t="str">
        <f>"60"</f>
        <v>60</v>
      </c>
      <c r="E605" t="str">
        <f>"C:\TOC3201\Methods\Itamar\acid_sample.met"</f>
        <v>C:\TOC3201\Methods\Itamar\acid_sample.met</v>
      </c>
      <c r="F605" t="str">
        <f>"C:\TOC3201\CalCurves\Itamar\N_cal_25ppm_acid_laurel.2019_08_15_12_20_41.cal"</f>
        <v>C:\TOC3201\CalCurves\Itamar\N_cal_25ppm_acid_laurel.2019_08_15_12_20_41.cal</v>
      </c>
      <c r="G605">
        <v>1</v>
      </c>
      <c r="H605" t="str">
        <f>""</f>
        <v/>
      </c>
      <c r="I605" t="str">
        <f>"8/16/2019 2:48:55 PM"</f>
        <v>8/16/2019 2:48:55 PM</v>
      </c>
      <c r="J605" t="str">
        <f>"1"</f>
        <v>1</v>
      </c>
      <c r="K605" t="str">
        <f>"3"</f>
        <v>3</v>
      </c>
      <c r="L605" t="str">
        <f>"TN"</f>
        <v>TN</v>
      </c>
      <c r="M605" t="str">
        <f>"46.11"</f>
        <v>46.11</v>
      </c>
      <c r="N605" t="str">
        <f>"11.91"</f>
        <v>11.91</v>
      </c>
      <c r="O605" t="str">
        <f>"NPOC:65.27mg/L TN:11.82mg/L"</f>
        <v>NPOC:65.27mg/L TN:11.82mg/L</v>
      </c>
      <c r="P605">
        <v>0</v>
      </c>
      <c r="Q605" t="str">
        <f>"80"</f>
        <v>80</v>
      </c>
    </row>
    <row r="606" spans="1:17" x14ac:dyDescent="0.2">
      <c r="A606" t="str">
        <f>"Unknown"</f>
        <v>Unknown</v>
      </c>
      <c r="B606" t="str">
        <f>"NPOC/TN"</f>
        <v>NPOC/TN</v>
      </c>
      <c r="C606" t="str">
        <f>"DI"</f>
        <v>DI</v>
      </c>
      <c r="D606" t="str">
        <f>"DI"</f>
        <v>DI</v>
      </c>
      <c r="E606" t="str">
        <f>"C:\TOC3201\Methods\Itamar\acid_sample.met"</f>
        <v>C:\TOC3201\Methods\Itamar\acid_sample.met</v>
      </c>
      <c r="F606" t="str">
        <f>"C:\TOC3201\CalCurves\Itamar\C_cal_100ppm_acid_laurel.2019_08_15_10_24_40.cal"</f>
        <v>C:\TOC3201\CalCurves\Itamar\C_cal_100ppm_acid_laurel.2019_08_15_10_24_40.cal</v>
      </c>
      <c r="G606">
        <v>1</v>
      </c>
      <c r="H606" t="str">
        <f>""</f>
        <v/>
      </c>
      <c r="I606" t="str">
        <f>"8/16/2019 3:02:10 PM"</f>
        <v>8/16/2019 3:02:10 PM</v>
      </c>
      <c r="J606" t="str">
        <f>"1"</f>
        <v>1</v>
      </c>
      <c r="K606" t="str">
        <f>"1"</f>
        <v>1</v>
      </c>
      <c r="L606" t="str">
        <f>"NPOC"</f>
        <v>NPOC</v>
      </c>
      <c r="M606" t="str">
        <f>"1.324"</f>
        <v>1.324</v>
      </c>
      <c r="N606" t="str">
        <f>"0.3319"</f>
        <v>0.3319</v>
      </c>
      <c r="O606" t="str">
        <f>"NPOC:0.2079mg/L TN:0.1609mg/L"</f>
        <v>NPOC:0.2079mg/L TN:0.1609mg/L</v>
      </c>
      <c r="P606">
        <v>1</v>
      </c>
      <c r="Q606" t="str">
        <f>"80"</f>
        <v>80</v>
      </c>
    </row>
    <row r="607" spans="1:17" x14ac:dyDescent="0.2">
      <c r="A607" t="str">
        <f>"Unknown"</f>
        <v>Unknown</v>
      </c>
      <c r="B607" t="str">
        <f>"NPOC/TN"</f>
        <v>NPOC/TN</v>
      </c>
      <c r="C607" t="str">
        <f>"DI"</f>
        <v>DI</v>
      </c>
      <c r="D607" t="str">
        <f>"DI"</f>
        <v>DI</v>
      </c>
      <c r="E607" t="str">
        <f>"C:\TOC3201\Methods\Itamar\acid_sample.met"</f>
        <v>C:\TOC3201\Methods\Itamar\acid_sample.met</v>
      </c>
      <c r="F607" t="str">
        <f>"C:\TOC3201\CalCurves\Itamar\C_cal_100ppm_acid_laurel.2019_08_15_10_24_40.cal"</f>
        <v>C:\TOC3201\CalCurves\Itamar\C_cal_100ppm_acid_laurel.2019_08_15_10_24_40.cal</v>
      </c>
      <c r="G607">
        <v>1</v>
      </c>
      <c r="H607" t="str">
        <f>""</f>
        <v/>
      </c>
      <c r="I607" t="str">
        <f>"8/16/2019 3:04:23 PM"</f>
        <v>8/16/2019 3:04:23 PM</v>
      </c>
      <c r="J607" t="str">
        <f>"1"</f>
        <v>1</v>
      </c>
      <c r="K607" t="str">
        <f>"2"</f>
        <v>2</v>
      </c>
      <c r="L607" t="str">
        <f>"NPOC"</f>
        <v>NPOC</v>
      </c>
      <c r="M607" t="str">
        <f>"0.6829"</f>
        <v>0.6829</v>
      </c>
      <c r="N607" t="str">
        <f>"0.2003"</f>
        <v>0.2003</v>
      </c>
      <c r="O607" t="str">
        <f>"NPOC:0.2079mg/L TN:0.1609mg/L"</f>
        <v>NPOC:0.2079mg/L TN:0.1609mg/L</v>
      </c>
      <c r="P607">
        <v>0</v>
      </c>
      <c r="Q607" t="str">
        <f>"80"</f>
        <v>80</v>
      </c>
    </row>
    <row r="608" spans="1:17" x14ac:dyDescent="0.2">
      <c r="A608" t="str">
        <f>"Unknown"</f>
        <v>Unknown</v>
      </c>
      <c r="B608" t="str">
        <f>"NPOC/TN"</f>
        <v>NPOC/TN</v>
      </c>
      <c r="C608" t="str">
        <f>"DI"</f>
        <v>DI</v>
      </c>
      <c r="D608" t="str">
        <f>"DI"</f>
        <v>DI</v>
      </c>
      <c r="E608" t="str">
        <f>"C:\TOC3201\Methods\Itamar\acid_sample.met"</f>
        <v>C:\TOC3201\Methods\Itamar\acid_sample.met</v>
      </c>
      <c r="F608" t="str">
        <f>"C:\TOC3201\CalCurves\Itamar\C_cal_100ppm_acid_laurel.2019_08_15_10_24_40.cal"</f>
        <v>C:\TOC3201\CalCurves\Itamar\C_cal_100ppm_acid_laurel.2019_08_15_10_24_40.cal</v>
      </c>
      <c r="G608">
        <v>1</v>
      </c>
      <c r="H608" t="str">
        <f>""</f>
        <v/>
      </c>
      <c r="I608" t="str">
        <f>"8/16/2019 3:06:42 PM"</f>
        <v>8/16/2019 3:06:42 PM</v>
      </c>
      <c r="J608" t="str">
        <f>"1"</f>
        <v>1</v>
      </c>
      <c r="K608" t="str">
        <f>"3"</f>
        <v>3</v>
      </c>
      <c r="L608" t="str">
        <f>"NPOC"</f>
        <v>NPOC</v>
      </c>
      <c r="M608" t="str">
        <f>"0.6903"</f>
        <v>0.6903</v>
      </c>
      <c r="N608" t="str">
        <f>"0.2018"</f>
        <v>0.2018</v>
      </c>
      <c r="O608" t="str">
        <f>"NPOC:0.2079mg/L TN:0.1609mg/L"</f>
        <v>NPOC:0.2079mg/L TN:0.1609mg/L</v>
      </c>
      <c r="P608">
        <v>0</v>
      </c>
      <c r="Q608" t="str">
        <f>"80"</f>
        <v>80</v>
      </c>
    </row>
    <row r="609" spans="1:17" x14ac:dyDescent="0.2">
      <c r="A609" t="str">
        <f>"Unknown"</f>
        <v>Unknown</v>
      </c>
      <c r="B609" t="str">
        <f>"NPOC/TN"</f>
        <v>NPOC/TN</v>
      </c>
      <c r="C609" t="str">
        <f>"DI"</f>
        <v>DI</v>
      </c>
      <c r="D609" t="str">
        <f>"DI"</f>
        <v>DI</v>
      </c>
      <c r="E609" t="str">
        <f>"C:\TOC3201\Methods\Itamar\acid_sample.met"</f>
        <v>C:\TOC3201\Methods\Itamar\acid_sample.met</v>
      </c>
      <c r="F609" t="str">
        <f>"C:\TOC3201\CalCurves\Itamar\C_cal_100ppm_acid_laurel.2019_08_15_10_24_40.cal"</f>
        <v>C:\TOC3201\CalCurves\Itamar\C_cal_100ppm_acid_laurel.2019_08_15_10_24_40.cal</v>
      </c>
      <c r="G609">
        <v>1</v>
      </c>
      <c r="H609" t="str">
        <f>""</f>
        <v/>
      </c>
      <c r="I609" t="str">
        <f>"8/16/2019 3:09:00 PM"</f>
        <v>8/16/2019 3:09:00 PM</v>
      </c>
      <c r="J609" t="str">
        <f>"1"</f>
        <v>1</v>
      </c>
      <c r="K609" t="str">
        <f>"4"</f>
        <v>4</v>
      </c>
      <c r="L609" t="str">
        <f>"NPOC"</f>
        <v>NPOC</v>
      </c>
      <c r="M609" t="str">
        <f>"0.7868"</f>
        <v>0.7868</v>
      </c>
      <c r="N609" t="str">
        <f>"0.2216"</f>
        <v>0.2216</v>
      </c>
      <c r="O609" t="str">
        <f>"NPOC:0.2079mg/L TN:0.1609mg/L"</f>
        <v>NPOC:0.2079mg/L TN:0.1609mg/L</v>
      </c>
      <c r="P609">
        <v>0</v>
      </c>
      <c r="Q609" t="str">
        <f>"80"</f>
        <v>80</v>
      </c>
    </row>
    <row r="610" spans="1:17" x14ac:dyDescent="0.2">
      <c r="A610" t="str">
        <f>"Unknown"</f>
        <v>Unknown</v>
      </c>
      <c r="B610" t="str">
        <f>"NPOC/TN"</f>
        <v>NPOC/TN</v>
      </c>
      <c r="C610" t="str">
        <f>"DI"</f>
        <v>DI</v>
      </c>
      <c r="D610" t="str">
        <f>"DI"</f>
        <v>DI</v>
      </c>
      <c r="E610" t="str">
        <f>"C:\TOC3201\Methods\Itamar\acid_sample.met"</f>
        <v>C:\TOC3201\Methods\Itamar\acid_sample.met</v>
      </c>
      <c r="F610" t="str">
        <f>"C:\TOC3201\CalCurves\Itamar\N_cal_25ppm_acid_laurel.2019_08_15_12_20_41.cal"</f>
        <v>C:\TOC3201\CalCurves\Itamar\N_cal_25ppm_acid_laurel.2019_08_15_12_20_41.cal</v>
      </c>
      <c r="G610">
        <v>1</v>
      </c>
      <c r="H610" t="str">
        <f>""</f>
        <v/>
      </c>
      <c r="I610" t="str">
        <f>"8/16/2019 3:02:10 PM"</f>
        <v>8/16/2019 3:02:10 PM</v>
      </c>
      <c r="J610" t="str">
        <f>"1"</f>
        <v>1</v>
      </c>
      <c r="K610" t="str">
        <f>"1"</f>
        <v>1</v>
      </c>
      <c r="L610" t="str">
        <f>"TN"</f>
        <v>TN</v>
      </c>
      <c r="M610" t="str">
        <f>"0.000"</f>
        <v>0.000</v>
      </c>
      <c r="N610" t="str">
        <f>"0.1609"</f>
        <v>0.1609</v>
      </c>
      <c r="O610" t="str">
        <f>"NPOC:0.2079mg/L TN:0.1609mg/L"</f>
        <v>NPOC:0.2079mg/L TN:0.1609mg/L</v>
      </c>
      <c r="P610">
        <v>0</v>
      </c>
      <c r="Q610" t="str">
        <f>"80"</f>
        <v>80</v>
      </c>
    </row>
    <row r="611" spans="1:17" x14ac:dyDescent="0.2">
      <c r="A611" t="str">
        <f>"Unknown"</f>
        <v>Unknown</v>
      </c>
      <c r="B611" t="str">
        <f>"NPOC/TN"</f>
        <v>NPOC/TN</v>
      </c>
      <c r="C611" t="str">
        <f>"DI"</f>
        <v>DI</v>
      </c>
      <c r="D611" t="str">
        <f>"DI"</f>
        <v>DI</v>
      </c>
      <c r="E611" t="str">
        <f>"C:\TOC3201\Methods\Itamar\acid_sample.met"</f>
        <v>C:\TOC3201\Methods\Itamar\acid_sample.met</v>
      </c>
      <c r="F611" t="str">
        <f>"C:\TOC3201\CalCurves\Itamar\N_cal_25ppm_acid_laurel.2019_08_15_12_20_41.cal"</f>
        <v>C:\TOC3201\CalCurves\Itamar\N_cal_25ppm_acid_laurel.2019_08_15_12_20_41.cal</v>
      </c>
      <c r="G611">
        <v>1</v>
      </c>
      <c r="H611" t="str">
        <f>""</f>
        <v/>
      </c>
      <c r="I611" t="str">
        <f>"8/16/2019 3:04:23 PM"</f>
        <v>8/16/2019 3:04:23 PM</v>
      </c>
      <c r="J611" t="str">
        <f>"1"</f>
        <v>1</v>
      </c>
      <c r="K611" t="str">
        <f>"2"</f>
        <v>2</v>
      </c>
      <c r="L611" t="str">
        <f>"TN"</f>
        <v>TN</v>
      </c>
      <c r="M611" t="str">
        <f>"0.000"</f>
        <v>0.000</v>
      </c>
      <c r="N611" t="str">
        <f>"0.1609"</f>
        <v>0.1609</v>
      </c>
      <c r="O611" t="str">
        <f>"NPOC:0.2079mg/L TN:0.1609mg/L"</f>
        <v>NPOC:0.2079mg/L TN:0.1609mg/L</v>
      </c>
      <c r="P611">
        <v>0</v>
      </c>
      <c r="Q611" t="str">
        <f>"80"</f>
        <v>80</v>
      </c>
    </row>
    <row r="612" spans="1:17" x14ac:dyDescent="0.2">
      <c r="A612" t="str">
        <f>"Unknown"</f>
        <v>Unknown</v>
      </c>
      <c r="B612" t="str">
        <f>"NPOC/TN"</f>
        <v>NPOC/TN</v>
      </c>
      <c r="C612" t="str">
        <f>"DI"</f>
        <v>DI</v>
      </c>
      <c r="D612" t="str">
        <f>"DI"</f>
        <v>DI</v>
      </c>
      <c r="E612" t="str">
        <f>"C:\TOC3201\Methods\Itamar\acid_sample.met"</f>
        <v>C:\TOC3201\Methods\Itamar\acid_sample.met</v>
      </c>
      <c r="F612" t="str">
        <f>"C:\TOC3201\CalCurves\Itamar\N_cal_25ppm_acid_laurel.2019_08_15_12_20_41.cal"</f>
        <v>C:\TOC3201\CalCurves\Itamar\N_cal_25ppm_acid_laurel.2019_08_15_12_20_41.cal</v>
      </c>
      <c r="G612">
        <v>1</v>
      </c>
      <c r="H612" t="str">
        <f>""</f>
        <v/>
      </c>
      <c r="I612" t="str">
        <f>"8/16/2019 3:06:42 PM"</f>
        <v>8/16/2019 3:06:42 PM</v>
      </c>
      <c r="J612" t="str">
        <f>"1"</f>
        <v>1</v>
      </c>
      <c r="K612" t="str">
        <f>"3"</f>
        <v>3</v>
      </c>
      <c r="L612" t="str">
        <f>"TN"</f>
        <v>TN</v>
      </c>
      <c r="M612" t="str">
        <f>"0.000"</f>
        <v>0.000</v>
      </c>
      <c r="N612" t="str">
        <f>"0.1609"</f>
        <v>0.1609</v>
      </c>
      <c r="O612" t="str">
        <f>"NPOC:0.2079mg/L TN:0.1609mg/L"</f>
        <v>NPOC:0.2079mg/L TN:0.1609mg/L</v>
      </c>
      <c r="P612">
        <v>0</v>
      </c>
      <c r="Q612" t="str">
        <f>"80"</f>
        <v>80</v>
      </c>
    </row>
    <row r="613" spans="1:17" x14ac:dyDescent="0.2">
      <c r="A613" t="str">
        <f>"Unknown"</f>
        <v>Unknown</v>
      </c>
      <c r="B613" t="str">
        <f>"NPOC/TN"</f>
        <v>NPOC/TN</v>
      </c>
      <c r="C613" t="str">
        <f>"25ppm"</f>
        <v>25ppm</v>
      </c>
      <c r="D613" t="str">
        <f>"25ppm"</f>
        <v>25ppm</v>
      </c>
      <c r="E613" t="str">
        <f>"C:\TOC3201\Methods\Itamar\acid_sample.met"</f>
        <v>C:\TOC3201\Methods\Itamar\acid_sample.met</v>
      </c>
      <c r="F613" t="str">
        <f>"C:\TOC3201\CalCurves\Itamar\C_standard.2019_06_24_14_52_38.cal"</f>
        <v>C:\TOC3201\CalCurves\Itamar\C_standard.2019_06_24_14_52_38.cal</v>
      </c>
      <c r="G613">
        <v>1</v>
      </c>
      <c r="H613" t="str">
        <f>""</f>
        <v/>
      </c>
      <c r="I613" t="str">
        <f>"8/16/2019 3:17:37 PM"</f>
        <v>8/16/2019 3:17:37 PM</v>
      </c>
      <c r="J613" t="str">
        <f>"1"</f>
        <v>1</v>
      </c>
      <c r="K613" t="str">
        <f>"1"</f>
        <v>1</v>
      </c>
      <c r="L613" t="str">
        <f>"NPOC"</f>
        <v>NPOC</v>
      </c>
      <c r="M613" t="str">
        <f>"0.000"</f>
        <v>0.000</v>
      </c>
      <c r="N613" t="str">
        <f>"134.5"</f>
        <v>134.5</v>
      </c>
      <c r="O613" t="str">
        <f>"NPOC:34.66mg/L TN:25.01mg/L"</f>
        <v>NPOC:34.66mg/L TN:25.01mg/L</v>
      </c>
      <c r="P613">
        <v>1</v>
      </c>
      <c r="Q613" t="str">
        <f>"80"</f>
        <v>80</v>
      </c>
    </row>
    <row r="614" spans="1:17" x14ac:dyDescent="0.2">
      <c r="A614" t="str">
        <f>"Unknown"</f>
        <v>Unknown</v>
      </c>
      <c r="B614" t="str">
        <f>"NPOC/TN"</f>
        <v>NPOC/TN</v>
      </c>
      <c r="C614" t="str">
        <f>"25ppm"</f>
        <v>25ppm</v>
      </c>
      <c r="D614" t="str">
        <f>"25ppm"</f>
        <v>25ppm</v>
      </c>
      <c r="E614" t="str">
        <f>"C:\TOC3201\Methods\Itamar\acid_sample.met"</f>
        <v>C:\TOC3201\Methods\Itamar\acid_sample.met</v>
      </c>
      <c r="F614" t="str">
        <f>"C:\TOC3201\CalCurves\Itamar\C_standard.2019_06_24_14_52_38.cal"</f>
        <v>C:\TOC3201\CalCurves\Itamar\C_standard.2019_06_24_14_52_38.cal</v>
      </c>
      <c r="G614">
        <v>1</v>
      </c>
      <c r="H614" t="str">
        <f>""</f>
        <v/>
      </c>
      <c r="I614" t="str">
        <f>"8/16/2019 3:21:20 PM"</f>
        <v>8/16/2019 3:21:20 PM</v>
      </c>
      <c r="J614" t="str">
        <f>"1"</f>
        <v>1</v>
      </c>
      <c r="K614" t="str">
        <f>"2"</f>
        <v>2</v>
      </c>
      <c r="L614" t="str">
        <f>"NPOC"</f>
        <v>NPOC</v>
      </c>
      <c r="M614" t="str">
        <f>"111.5"</f>
        <v>111.5</v>
      </c>
      <c r="N614" t="str">
        <f>"36.79"</f>
        <v>36.79</v>
      </c>
      <c r="O614" t="str">
        <f>"NPOC:34.66mg/L TN:25.01mg/L"</f>
        <v>NPOC:34.66mg/L TN:25.01mg/L</v>
      </c>
      <c r="P614">
        <v>0</v>
      </c>
      <c r="Q614" t="str">
        <f>"80"</f>
        <v>80</v>
      </c>
    </row>
    <row r="615" spans="1:17" x14ac:dyDescent="0.2">
      <c r="A615" t="str">
        <f>"Unknown"</f>
        <v>Unknown</v>
      </c>
      <c r="B615" t="str">
        <f>"NPOC/TN"</f>
        <v>NPOC/TN</v>
      </c>
      <c r="C615" t="str">
        <f>"25ppm"</f>
        <v>25ppm</v>
      </c>
      <c r="D615" t="str">
        <f>"25ppm"</f>
        <v>25ppm</v>
      </c>
      <c r="E615" t="str">
        <f>"C:\TOC3201\Methods\Itamar\acid_sample.met"</f>
        <v>C:\TOC3201\Methods\Itamar\acid_sample.met</v>
      </c>
      <c r="F615" t="str">
        <f>"C:\TOC3201\CalCurves\Itamar\C_standard.2019_06_24_14_52_38.cal"</f>
        <v>C:\TOC3201\CalCurves\Itamar\C_standard.2019_06_24_14_52_38.cal</v>
      </c>
      <c r="G615">
        <v>1</v>
      </c>
      <c r="H615" t="str">
        <f>""</f>
        <v/>
      </c>
      <c r="I615" t="str">
        <f>"8/16/2019 3:25:27 PM"</f>
        <v>8/16/2019 3:25:27 PM</v>
      </c>
      <c r="J615" t="str">
        <f>"1"</f>
        <v>1</v>
      </c>
      <c r="K615" t="str">
        <f>"3"</f>
        <v>3</v>
      </c>
      <c r="L615" t="str">
        <f>"NPOC"</f>
        <v>NPOC</v>
      </c>
      <c r="M615" t="str">
        <f>"120.6"</f>
        <v>120.6</v>
      </c>
      <c r="N615" t="str">
        <f>"28.82"</f>
        <v>28.82</v>
      </c>
      <c r="O615" t="str">
        <f>"NPOC:34.66mg/L TN:25.01mg/L"</f>
        <v>NPOC:34.66mg/L TN:25.01mg/L</v>
      </c>
      <c r="P615">
        <v>1</v>
      </c>
      <c r="Q615" t="str">
        <f>"80"</f>
        <v>80</v>
      </c>
    </row>
    <row r="616" spans="1:17" x14ac:dyDescent="0.2">
      <c r="A616" t="str">
        <f>"Unknown"</f>
        <v>Unknown</v>
      </c>
      <c r="B616" t="str">
        <f>"NPOC/TN"</f>
        <v>NPOC/TN</v>
      </c>
      <c r="C616" t="str">
        <f>"25ppm"</f>
        <v>25ppm</v>
      </c>
      <c r="D616" t="str">
        <f>"25ppm"</f>
        <v>25ppm</v>
      </c>
      <c r="E616" t="str">
        <f>"C:\TOC3201\Methods\Itamar\acid_sample.met"</f>
        <v>C:\TOC3201\Methods\Itamar\acid_sample.met</v>
      </c>
      <c r="F616" t="str">
        <f>"C:\TOC3201\CalCurves\Itamar\C_standard.2019_06_24_14_52_38.cal"</f>
        <v>C:\TOC3201\CalCurves\Itamar\C_standard.2019_06_24_14_52_38.cal</v>
      </c>
      <c r="G616">
        <v>1</v>
      </c>
      <c r="H616" t="str">
        <f>""</f>
        <v/>
      </c>
      <c r="I616" t="str">
        <f>"8/16/2019 3:29:05 PM"</f>
        <v>8/16/2019 3:29:05 PM</v>
      </c>
      <c r="J616" t="str">
        <f>"1"</f>
        <v>1</v>
      </c>
      <c r="K616" t="str">
        <f>"4"</f>
        <v>4</v>
      </c>
      <c r="L616" t="str">
        <f>"NPOC"</f>
        <v>NPOC</v>
      </c>
      <c r="M616" t="str">
        <f>"116.2"</f>
        <v>116.2</v>
      </c>
      <c r="N616" t="str">
        <f>"32.67"</f>
        <v>32.67</v>
      </c>
      <c r="O616" t="str">
        <f>"NPOC:34.66mg/L TN:25.01mg/L"</f>
        <v>NPOC:34.66mg/L TN:25.01mg/L</v>
      </c>
      <c r="P616">
        <v>0</v>
      </c>
      <c r="Q616" t="str">
        <f>"80"</f>
        <v>80</v>
      </c>
    </row>
    <row r="617" spans="1:17" x14ac:dyDescent="0.2">
      <c r="A617" t="str">
        <f>"Unknown"</f>
        <v>Unknown</v>
      </c>
      <c r="B617" t="str">
        <f>"NPOC/TN"</f>
        <v>NPOC/TN</v>
      </c>
      <c r="C617" t="str">
        <f>"25ppm"</f>
        <v>25ppm</v>
      </c>
      <c r="D617" t="str">
        <f>"25ppm"</f>
        <v>25ppm</v>
      </c>
      <c r="E617" t="str">
        <f>"C:\TOC3201\Methods\Itamar\acid_sample.met"</f>
        <v>C:\TOC3201\Methods\Itamar\acid_sample.met</v>
      </c>
      <c r="F617" t="str">
        <f>"C:\TOC3201\CalCurves\Itamar\C_standard.2019_06_24_14_52_38.cal"</f>
        <v>C:\TOC3201\CalCurves\Itamar\C_standard.2019_06_24_14_52_38.cal</v>
      </c>
      <c r="G617">
        <v>1</v>
      </c>
      <c r="H617" t="str">
        <f>""</f>
        <v/>
      </c>
      <c r="I617" t="str">
        <f>"8/16/2019 3:33:51 PM"</f>
        <v>8/16/2019 3:33:51 PM</v>
      </c>
      <c r="J617" t="str">
        <f>"1"</f>
        <v>1</v>
      </c>
      <c r="K617" t="str">
        <f>"5"</f>
        <v>5</v>
      </c>
      <c r="L617" t="str">
        <f>"NPOC"</f>
        <v>NPOC</v>
      </c>
      <c r="M617" t="str">
        <f>"114.1"</f>
        <v>114.1</v>
      </c>
      <c r="N617" t="str">
        <f>"34.51"</f>
        <v>34.51</v>
      </c>
      <c r="O617" t="str">
        <f>"NPOC:34.66mg/L TN:25.01mg/L"</f>
        <v>NPOC:34.66mg/L TN:25.01mg/L</v>
      </c>
      <c r="P617">
        <v>0</v>
      </c>
      <c r="Q617" t="str">
        <f>"80"</f>
        <v>80</v>
      </c>
    </row>
    <row r="618" spans="1:17" x14ac:dyDescent="0.2">
      <c r="A618" t="str">
        <f>"Unknown"</f>
        <v>Unknown</v>
      </c>
      <c r="B618" t="str">
        <f>"NPOC/TN"</f>
        <v>NPOC/TN</v>
      </c>
      <c r="C618" t="str">
        <f>"25ppm"</f>
        <v>25ppm</v>
      </c>
      <c r="D618" t="str">
        <f>"25ppm"</f>
        <v>25ppm</v>
      </c>
      <c r="E618" t="str">
        <f>"C:\TOC3201\Methods\Itamar\acid_sample.met"</f>
        <v>C:\TOC3201\Methods\Itamar\acid_sample.met</v>
      </c>
      <c r="F618" t="str">
        <f>"C:\TOC3201\CalCurves\Itamar\N_cal_25ppm_acid_laurel.2019_08_15_12_20_41.cal"</f>
        <v>C:\TOC3201\CalCurves\Itamar\N_cal_25ppm_acid_laurel.2019_08_15_12_20_41.cal</v>
      </c>
      <c r="G618">
        <v>1</v>
      </c>
      <c r="H618" t="str">
        <f>""</f>
        <v/>
      </c>
      <c r="I618" t="str">
        <f>"8/16/2019 3:17:37 PM"</f>
        <v>8/16/2019 3:17:37 PM</v>
      </c>
      <c r="J618" t="str">
        <f>"1"</f>
        <v>1</v>
      </c>
      <c r="K618" t="str">
        <f>"1"</f>
        <v>1</v>
      </c>
      <c r="L618" t="str">
        <f>"TN"</f>
        <v>TN</v>
      </c>
      <c r="M618" t="str">
        <f>"0.000"</f>
        <v>0.000</v>
      </c>
      <c r="N618" t="str">
        <f>"0.1609"</f>
        <v>0.1609</v>
      </c>
      <c r="O618" t="str">
        <f>"NPOC:34.66mg/L TN:25.01mg/L"</f>
        <v>NPOC:34.66mg/L TN:25.01mg/L</v>
      </c>
      <c r="P618">
        <v>1</v>
      </c>
      <c r="Q618" t="str">
        <f>"80"</f>
        <v>80</v>
      </c>
    </row>
    <row r="619" spans="1:17" x14ac:dyDescent="0.2">
      <c r="A619" t="str">
        <f>"Unknown"</f>
        <v>Unknown</v>
      </c>
      <c r="B619" t="str">
        <f>"NPOC/TN"</f>
        <v>NPOC/TN</v>
      </c>
      <c r="C619" t="str">
        <f>"25ppm"</f>
        <v>25ppm</v>
      </c>
      <c r="D619" t="str">
        <f>"25ppm"</f>
        <v>25ppm</v>
      </c>
      <c r="E619" t="str">
        <f>"C:\TOC3201\Methods\Itamar\acid_sample.met"</f>
        <v>C:\TOC3201\Methods\Itamar\acid_sample.met</v>
      </c>
      <c r="F619" t="str">
        <f>"C:\TOC3201\CalCurves\Itamar\N_cal_25ppm_acid_laurel.2019_08_15_12_20_41.cal"</f>
        <v>C:\TOC3201\CalCurves\Itamar\N_cal_25ppm_acid_laurel.2019_08_15_12_20_41.cal</v>
      </c>
      <c r="G619">
        <v>1</v>
      </c>
      <c r="H619" t="str">
        <f>""</f>
        <v/>
      </c>
      <c r="I619" t="str">
        <f>"8/16/2019 3:21:20 PM"</f>
        <v>8/16/2019 3:21:20 PM</v>
      </c>
      <c r="J619" t="str">
        <f>"1"</f>
        <v>1</v>
      </c>
      <c r="K619" t="str">
        <f>"2"</f>
        <v>2</v>
      </c>
      <c r="L619" t="str">
        <f>"TN"</f>
        <v>TN</v>
      </c>
      <c r="M619" t="str">
        <f>"95.68"</f>
        <v>95.68</v>
      </c>
      <c r="N619" t="str">
        <f>"24.54"</f>
        <v>24.54</v>
      </c>
      <c r="O619" t="str">
        <f>"NPOC:34.66mg/L TN:25.01mg/L"</f>
        <v>NPOC:34.66mg/L TN:25.01mg/L</v>
      </c>
      <c r="P619">
        <v>0</v>
      </c>
      <c r="Q619" t="str">
        <f>"80"</f>
        <v>80</v>
      </c>
    </row>
    <row r="620" spans="1:17" x14ac:dyDescent="0.2">
      <c r="A620" t="str">
        <f>"Unknown"</f>
        <v>Unknown</v>
      </c>
      <c r="B620" t="str">
        <f>"NPOC/TN"</f>
        <v>NPOC/TN</v>
      </c>
      <c r="C620" t="str">
        <f>"25ppm"</f>
        <v>25ppm</v>
      </c>
      <c r="D620" t="str">
        <f>"25ppm"</f>
        <v>25ppm</v>
      </c>
      <c r="E620" t="str">
        <f>"C:\TOC3201\Methods\Itamar\acid_sample.met"</f>
        <v>C:\TOC3201\Methods\Itamar\acid_sample.met</v>
      </c>
      <c r="F620" t="str">
        <f>"C:\TOC3201\CalCurves\Itamar\N_cal_25ppm_acid_laurel.2019_08_15_12_20_41.cal"</f>
        <v>C:\TOC3201\CalCurves\Itamar\N_cal_25ppm_acid_laurel.2019_08_15_12_20_41.cal</v>
      </c>
      <c r="G620">
        <v>1</v>
      </c>
      <c r="H620" t="str">
        <f>""</f>
        <v/>
      </c>
      <c r="I620" t="str">
        <f>"8/16/2019 3:25:27 PM"</f>
        <v>8/16/2019 3:25:27 PM</v>
      </c>
      <c r="J620" t="str">
        <f>"1"</f>
        <v>1</v>
      </c>
      <c r="K620" t="str">
        <f>"3"</f>
        <v>3</v>
      </c>
      <c r="L620" t="str">
        <f>"TN"</f>
        <v>TN</v>
      </c>
      <c r="M620" t="str">
        <f>"102.7"</f>
        <v>102.7</v>
      </c>
      <c r="N620" t="str">
        <f>"26.33"</f>
        <v>26.33</v>
      </c>
      <c r="O620" t="str">
        <f>"NPOC:34.66mg/L TN:25.01mg/L"</f>
        <v>NPOC:34.66mg/L TN:25.01mg/L</v>
      </c>
      <c r="P620">
        <v>1</v>
      </c>
      <c r="Q620" t="str">
        <f>"80"</f>
        <v>80</v>
      </c>
    </row>
    <row r="621" spans="1:17" x14ac:dyDescent="0.2">
      <c r="A621" t="str">
        <f>"Unknown"</f>
        <v>Unknown</v>
      </c>
      <c r="B621" t="str">
        <f>"NPOC/TN"</f>
        <v>NPOC/TN</v>
      </c>
      <c r="C621" t="str">
        <f>"25ppm"</f>
        <v>25ppm</v>
      </c>
      <c r="D621" t="str">
        <f>"25ppm"</f>
        <v>25ppm</v>
      </c>
      <c r="E621" t="str">
        <f>"C:\TOC3201\Methods\Itamar\acid_sample.met"</f>
        <v>C:\TOC3201\Methods\Itamar\acid_sample.met</v>
      </c>
      <c r="F621" t="str">
        <f>"C:\TOC3201\CalCurves\Itamar\N_cal_25ppm_acid_laurel.2019_08_15_12_20_41.cal"</f>
        <v>C:\TOC3201\CalCurves\Itamar\N_cal_25ppm_acid_laurel.2019_08_15_12_20_41.cal</v>
      </c>
      <c r="G621">
        <v>1</v>
      </c>
      <c r="H621" t="str">
        <f>""</f>
        <v/>
      </c>
      <c r="I621" t="str">
        <f>"8/16/2019 3:29:05 PM"</f>
        <v>8/16/2019 3:29:05 PM</v>
      </c>
      <c r="J621" t="str">
        <f>"1"</f>
        <v>1</v>
      </c>
      <c r="K621" t="str">
        <f>"4"</f>
        <v>4</v>
      </c>
      <c r="L621" t="str">
        <f>"TN"</f>
        <v>TN</v>
      </c>
      <c r="M621" t="str">
        <f>"99.93"</f>
        <v>99.93</v>
      </c>
      <c r="N621" t="str">
        <f>"25.62"</f>
        <v>25.62</v>
      </c>
      <c r="O621" t="str">
        <f>"NPOC:34.66mg/L TN:25.01mg/L"</f>
        <v>NPOC:34.66mg/L TN:25.01mg/L</v>
      </c>
      <c r="P621">
        <v>0</v>
      </c>
      <c r="Q621" t="str">
        <f>"80"</f>
        <v>80</v>
      </c>
    </row>
    <row r="622" spans="1:17" x14ac:dyDescent="0.2">
      <c r="A622" t="str">
        <f>"Unknown"</f>
        <v>Unknown</v>
      </c>
      <c r="B622" t="str">
        <f>"NPOC/TN"</f>
        <v>NPOC/TN</v>
      </c>
      <c r="C622" t="str">
        <f>"25ppm"</f>
        <v>25ppm</v>
      </c>
      <c r="D622" t="str">
        <f>"25ppm"</f>
        <v>25ppm</v>
      </c>
      <c r="E622" t="str">
        <f>"C:\TOC3201\Methods\Itamar\acid_sample.met"</f>
        <v>C:\TOC3201\Methods\Itamar\acid_sample.met</v>
      </c>
      <c r="F622" t="str">
        <f>"C:\TOC3201\CalCurves\Itamar\N_cal_25ppm_acid_laurel.2019_08_15_12_20_41.cal"</f>
        <v>C:\TOC3201\CalCurves\Itamar\N_cal_25ppm_acid_laurel.2019_08_15_12_20_41.cal</v>
      </c>
      <c r="G622">
        <v>1</v>
      </c>
      <c r="H622" t="str">
        <f>""</f>
        <v/>
      </c>
      <c r="I622" t="str">
        <f>"8/16/2019 3:33:51 PM"</f>
        <v>8/16/2019 3:33:51 PM</v>
      </c>
      <c r="J622" t="str">
        <f>"1"</f>
        <v>1</v>
      </c>
      <c r="K622" t="str">
        <f>"5"</f>
        <v>5</v>
      </c>
      <c r="L622" t="str">
        <f>"TN"</f>
        <v>TN</v>
      </c>
      <c r="M622" t="str">
        <f>"96.92"</f>
        <v>96.92</v>
      </c>
      <c r="N622" t="str">
        <f>"24.86"</f>
        <v>24.86</v>
      </c>
      <c r="O622" t="str">
        <f>"NPOC:34.66mg/L TN:25.01mg/L"</f>
        <v>NPOC:34.66mg/L TN:25.01mg/L</v>
      </c>
      <c r="P622">
        <v>0</v>
      </c>
      <c r="Q622" t="str">
        <f>"80"</f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EA62-A278-7D4F-B58F-57F2007E16DF}">
  <dimension ref="A1:P622"/>
  <sheetViews>
    <sheetView tabSelected="1" workbookViewId="0">
      <selection activeCell="R19" sqref="R1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71</v>
      </c>
      <c r="K1" t="s">
        <v>0</v>
      </c>
      <c r="L1" t="s">
        <v>1</v>
      </c>
      <c r="M1" t="s">
        <v>2</v>
      </c>
      <c r="N1" t="s">
        <v>3</v>
      </c>
      <c r="O1" t="s">
        <v>71</v>
      </c>
    </row>
    <row r="2" spans="1:15" x14ac:dyDescent="0.2">
      <c r="A2" t="s">
        <v>5</v>
      </c>
      <c r="B2" t="s">
        <v>4</v>
      </c>
      <c r="C2" s="1">
        <v>8.9559999999999995</v>
      </c>
      <c r="D2" s="1">
        <v>2</v>
      </c>
      <c r="K2" t="s">
        <v>7</v>
      </c>
      <c r="L2" t="s">
        <v>6</v>
      </c>
      <c r="M2" s="1">
        <v>2.3250000000000002</v>
      </c>
      <c r="N2" s="1">
        <v>0.5</v>
      </c>
    </row>
    <row r="3" spans="1:15" x14ac:dyDescent="0.2">
      <c r="A3" t="s">
        <v>5</v>
      </c>
      <c r="B3" t="s">
        <v>4</v>
      </c>
      <c r="C3" s="1">
        <v>8.8620000000000001</v>
      </c>
      <c r="D3" s="1">
        <v>2</v>
      </c>
      <c r="K3" t="s">
        <v>7</v>
      </c>
      <c r="L3" t="s">
        <v>6</v>
      </c>
      <c r="M3" s="1">
        <v>2.411</v>
      </c>
      <c r="N3" s="1">
        <v>0.5</v>
      </c>
    </row>
    <row r="4" spans="1:15" x14ac:dyDescent="0.2">
      <c r="A4" t="s">
        <v>5</v>
      </c>
      <c r="B4" t="s">
        <v>4</v>
      </c>
      <c r="C4" s="1">
        <v>8.7650000000000006</v>
      </c>
      <c r="D4" s="1">
        <v>2</v>
      </c>
      <c r="K4" t="s">
        <v>7</v>
      </c>
      <c r="L4" t="s">
        <v>6</v>
      </c>
      <c r="M4" s="1">
        <v>2.177</v>
      </c>
      <c r="N4" s="1">
        <v>0.5</v>
      </c>
    </row>
    <row r="5" spans="1:15" x14ac:dyDescent="0.2">
      <c r="A5" t="s">
        <v>5</v>
      </c>
      <c r="B5" t="s">
        <v>4</v>
      </c>
      <c r="C5" s="1">
        <v>24.57</v>
      </c>
      <c r="D5" s="1">
        <v>5</v>
      </c>
      <c r="K5" t="s">
        <v>7</v>
      </c>
      <c r="L5" t="s">
        <v>6</v>
      </c>
      <c r="M5" s="1">
        <v>4.6319999999999997</v>
      </c>
      <c r="N5" s="1">
        <v>1</v>
      </c>
    </row>
    <row r="6" spans="1:15" x14ac:dyDescent="0.2">
      <c r="A6" t="s">
        <v>5</v>
      </c>
      <c r="B6" t="s">
        <v>4</v>
      </c>
      <c r="C6" s="1">
        <v>25</v>
      </c>
      <c r="D6" s="1">
        <v>5</v>
      </c>
      <c r="K6" t="s">
        <v>7</v>
      </c>
      <c r="L6" t="s">
        <v>6</v>
      </c>
      <c r="M6" s="1">
        <v>3.3180000000000001</v>
      </c>
      <c r="N6" s="1">
        <v>1</v>
      </c>
    </row>
    <row r="7" spans="1:15" x14ac:dyDescent="0.2">
      <c r="A7" t="s">
        <v>5</v>
      </c>
      <c r="B7" t="s">
        <v>4</v>
      </c>
      <c r="C7" s="1">
        <v>24.21</v>
      </c>
      <c r="D7" s="1">
        <v>5</v>
      </c>
      <c r="K7" t="s">
        <v>7</v>
      </c>
      <c r="L7" t="s">
        <v>6</v>
      </c>
      <c r="M7" s="1">
        <v>3.4489999999999998</v>
      </c>
      <c r="N7" s="1">
        <v>1</v>
      </c>
    </row>
    <row r="8" spans="1:15" x14ac:dyDescent="0.2">
      <c r="A8" t="s">
        <v>5</v>
      </c>
      <c r="B8" t="s">
        <v>4</v>
      </c>
      <c r="C8" s="1">
        <v>47.04</v>
      </c>
      <c r="D8" s="1">
        <v>10</v>
      </c>
      <c r="K8" t="s">
        <v>7</v>
      </c>
      <c r="L8" t="s">
        <v>6</v>
      </c>
      <c r="M8" s="1">
        <v>7.5309999999999997</v>
      </c>
      <c r="N8" s="1">
        <v>1.667</v>
      </c>
    </row>
    <row r="9" spans="1:15" x14ac:dyDescent="0.2">
      <c r="A9" t="s">
        <v>5</v>
      </c>
      <c r="B9" t="s">
        <v>4</v>
      </c>
      <c r="C9" s="1">
        <v>47.14</v>
      </c>
      <c r="D9" s="1">
        <v>10</v>
      </c>
      <c r="K9" t="s">
        <v>7</v>
      </c>
      <c r="L9" t="s">
        <v>6</v>
      </c>
      <c r="M9" s="1">
        <v>7.327</v>
      </c>
      <c r="N9" s="1">
        <v>1.667</v>
      </c>
    </row>
    <row r="10" spans="1:15" x14ac:dyDescent="0.2">
      <c r="A10" t="s">
        <v>5</v>
      </c>
      <c r="B10" t="s">
        <v>4</v>
      </c>
      <c r="C10" s="1">
        <v>48.72</v>
      </c>
      <c r="D10" s="1">
        <v>10</v>
      </c>
      <c r="K10" t="s">
        <v>7</v>
      </c>
      <c r="L10" t="s">
        <v>6</v>
      </c>
      <c r="M10" s="1">
        <v>7.5250000000000004</v>
      </c>
      <c r="N10" s="1">
        <v>1.667</v>
      </c>
    </row>
    <row r="11" spans="1:15" x14ac:dyDescent="0.2">
      <c r="A11" t="s">
        <v>5</v>
      </c>
      <c r="B11" t="s">
        <v>4</v>
      </c>
      <c r="C11" s="1">
        <v>95.64</v>
      </c>
      <c r="D11" s="1">
        <v>20</v>
      </c>
      <c r="K11" t="s">
        <v>7</v>
      </c>
      <c r="L11" t="s">
        <v>6</v>
      </c>
      <c r="M11" s="1">
        <v>23.38</v>
      </c>
      <c r="N11" s="1">
        <v>5</v>
      </c>
    </row>
    <row r="12" spans="1:15" x14ac:dyDescent="0.2">
      <c r="A12" t="s">
        <v>5</v>
      </c>
      <c r="B12" t="s">
        <v>4</v>
      </c>
      <c r="C12" s="1">
        <v>97.2</v>
      </c>
      <c r="D12" s="1">
        <v>20</v>
      </c>
      <c r="K12" t="s">
        <v>7</v>
      </c>
      <c r="L12" t="s">
        <v>6</v>
      </c>
      <c r="M12" s="1">
        <v>22.94</v>
      </c>
      <c r="N12" s="1">
        <v>5</v>
      </c>
    </row>
    <row r="13" spans="1:15" x14ac:dyDescent="0.2">
      <c r="A13" t="s">
        <v>5</v>
      </c>
      <c r="B13" t="s">
        <v>4</v>
      </c>
      <c r="C13" s="1">
        <v>97.05</v>
      </c>
      <c r="D13" s="1">
        <v>20</v>
      </c>
      <c r="K13" t="s">
        <v>7</v>
      </c>
      <c r="L13" t="s">
        <v>6</v>
      </c>
      <c r="M13" s="1">
        <v>23.02</v>
      </c>
      <c r="N13" s="1">
        <v>5</v>
      </c>
    </row>
    <row r="14" spans="1:15" x14ac:dyDescent="0.2">
      <c r="A14" t="s">
        <v>5</v>
      </c>
      <c r="B14" t="s">
        <v>4</v>
      </c>
      <c r="C14" s="1">
        <v>243.7</v>
      </c>
      <c r="D14" s="1">
        <v>50</v>
      </c>
      <c r="K14" t="s">
        <v>7</v>
      </c>
      <c r="L14" t="s">
        <v>6</v>
      </c>
      <c r="M14" s="1">
        <v>60.84</v>
      </c>
      <c r="N14" s="1">
        <v>12.5</v>
      </c>
    </row>
    <row r="15" spans="1:15" x14ac:dyDescent="0.2">
      <c r="A15" t="s">
        <v>5</v>
      </c>
      <c r="B15" t="s">
        <v>4</v>
      </c>
      <c r="C15" s="1">
        <v>244.9</v>
      </c>
      <c r="D15" s="1">
        <v>50</v>
      </c>
      <c r="K15" t="s">
        <v>7</v>
      </c>
      <c r="L15" t="s">
        <v>6</v>
      </c>
      <c r="M15" s="1">
        <v>59.53</v>
      </c>
      <c r="N15" s="1">
        <v>12.5</v>
      </c>
    </row>
    <row r="16" spans="1:15" x14ac:dyDescent="0.2">
      <c r="A16" t="s">
        <v>5</v>
      </c>
      <c r="B16" t="s">
        <v>4</v>
      </c>
      <c r="C16" s="1">
        <v>247.8</v>
      </c>
      <c r="D16" s="1">
        <v>50</v>
      </c>
      <c r="K16" t="s">
        <v>7</v>
      </c>
      <c r="L16" t="s">
        <v>6</v>
      </c>
      <c r="M16" s="1">
        <v>61.89</v>
      </c>
      <c r="N16" s="1">
        <v>12.5</v>
      </c>
    </row>
    <row r="17" spans="1:16" x14ac:dyDescent="0.2">
      <c r="A17" t="s">
        <v>5</v>
      </c>
      <c r="B17" t="s">
        <v>4</v>
      </c>
      <c r="C17" s="1">
        <v>492.6</v>
      </c>
      <c r="D17" s="1">
        <v>100</v>
      </c>
      <c r="K17" t="s">
        <v>7</v>
      </c>
      <c r="L17" t="s">
        <v>6</v>
      </c>
      <c r="M17" s="1">
        <v>121</v>
      </c>
      <c r="N17" s="1">
        <v>25</v>
      </c>
    </row>
    <row r="18" spans="1:16" x14ac:dyDescent="0.2">
      <c r="A18" t="s">
        <v>5</v>
      </c>
      <c r="B18" t="s">
        <v>4</v>
      </c>
      <c r="C18" s="1">
        <v>481.3</v>
      </c>
      <c r="D18" s="1">
        <v>100</v>
      </c>
      <c r="K18" t="s">
        <v>7</v>
      </c>
      <c r="L18" t="s">
        <v>6</v>
      </c>
      <c r="M18" s="1">
        <v>122.2</v>
      </c>
      <c r="N18" s="1">
        <v>25</v>
      </c>
    </row>
    <row r="19" spans="1:16" x14ac:dyDescent="0.2">
      <c r="A19" t="s">
        <v>5</v>
      </c>
      <c r="B19" t="s">
        <v>4</v>
      </c>
      <c r="C19" s="1">
        <v>483.2</v>
      </c>
      <c r="D19" s="1">
        <v>100</v>
      </c>
      <c r="K19" t="s">
        <v>7</v>
      </c>
      <c r="L19" t="s">
        <v>6</v>
      </c>
      <c r="M19" s="1">
        <v>122.4</v>
      </c>
      <c r="N19" s="1">
        <v>25</v>
      </c>
    </row>
    <row r="20" spans="1:16" x14ac:dyDescent="0.2">
      <c r="A20" t="s">
        <v>8</v>
      </c>
      <c r="B20" t="s">
        <v>4</v>
      </c>
      <c r="C20" s="1">
        <v>0</v>
      </c>
      <c r="D20" s="1">
        <v>6.0019999999999997E-2</v>
      </c>
      <c r="K20" t="s">
        <v>8</v>
      </c>
      <c r="L20" t="s">
        <v>6</v>
      </c>
      <c r="M20" s="1">
        <v>0</v>
      </c>
      <c r="N20" s="1">
        <v>0.16089999999999999</v>
      </c>
    </row>
    <row r="21" spans="1:16" x14ac:dyDescent="0.2">
      <c r="A21" t="s">
        <v>8</v>
      </c>
      <c r="B21" t="s">
        <v>4</v>
      </c>
      <c r="C21" s="1">
        <v>0</v>
      </c>
      <c r="D21" s="1">
        <v>6.0019999999999997E-2</v>
      </c>
      <c r="K21" t="s">
        <v>8</v>
      </c>
      <c r="L21" t="s">
        <v>6</v>
      </c>
      <c r="M21" s="1">
        <v>0</v>
      </c>
      <c r="N21" s="1">
        <v>0.16089999999999999</v>
      </c>
    </row>
    <row r="22" spans="1:16" x14ac:dyDescent="0.2">
      <c r="A22" t="s">
        <v>8</v>
      </c>
      <c r="B22" t="s">
        <v>4</v>
      </c>
      <c r="C22" s="1">
        <v>0</v>
      </c>
      <c r="D22" s="1">
        <v>6.0019999999999997E-2</v>
      </c>
      <c r="K22" t="s">
        <v>8</v>
      </c>
      <c r="L22" t="s">
        <v>6</v>
      </c>
      <c r="M22" s="1">
        <v>0</v>
      </c>
      <c r="N22" s="1">
        <v>0.16089999999999999</v>
      </c>
    </row>
    <row r="23" spans="1:16" x14ac:dyDescent="0.2">
      <c r="A23" t="s">
        <v>9</v>
      </c>
      <c r="B23" t="s">
        <v>4</v>
      </c>
      <c r="C23" s="1">
        <v>110.8</v>
      </c>
      <c r="D23" s="1">
        <v>37.4</v>
      </c>
      <c r="E23">
        <f>(C23+0.2923)/4.8697</f>
        <v>22.812965891122655</v>
      </c>
      <c r="K23" t="s">
        <v>9</v>
      </c>
      <c r="L23" t="s">
        <v>6</v>
      </c>
      <c r="M23" s="1">
        <v>93.02</v>
      </c>
      <c r="N23" s="1">
        <v>23.86</v>
      </c>
      <c r="O23">
        <f>(M23+0.7893)/4.9058</f>
        <v>19.122120755024664</v>
      </c>
      <c r="P23">
        <f>O23*5</f>
        <v>95.610603775123323</v>
      </c>
    </row>
    <row r="24" spans="1:16" x14ac:dyDescent="0.2">
      <c r="A24" t="s">
        <v>9</v>
      </c>
      <c r="B24" t="s">
        <v>4</v>
      </c>
      <c r="C24" s="1">
        <v>107.8</v>
      </c>
      <c r="D24" s="1">
        <v>40.03</v>
      </c>
      <c r="E24">
        <f t="shared" ref="E24:E87" si="0">(C24+0.2923)/4.8697</f>
        <v>22.196911514056307</v>
      </c>
      <c r="K24" t="s">
        <v>9</v>
      </c>
      <c r="L24" t="s">
        <v>6</v>
      </c>
      <c r="M24" s="1">
        <v>90.36</v>
      </c>
      <c r="N24" s="1">
        <v>23.18</v>
      </c>
      <c r="O24">
        <f t="shared" ref="O24:O87" si="1">(M24+0.7893)/4.9058</f>
        <v>18.57990541807656</v>
      </c>
    </row>
    <row r="25" spans="1:16" x14ac:dyDescent="0.2">
      <c r="A25" t="s">
        <v>9</v>
      </c>
      <c r="B25" t="s">
        <v>4</v>
      </c>
      <c r="C25" s="1">
        <v>109.4</v>
      </c>
      <c r="D25" s="1">
        <v>38.630000000000003</v>
      </c>
      <c r="E25">
        <f t="shared" si="0"/>
        <v>22.525473848491693</v>
      </c>
      <c r="K25" t="s">
        <v>9</v>
      </c>
      <c r="L25" t="s">
        <v>6</v>
      </c>
      <c r="M25" s="1">
        <v>93.54</v>
      </c>
      <c r="N25" s="1">
        <v>23.99</v>
      </c>
      <c r="O25">
        <f t="shared" si="1"/>
        <v>19.22811773818745</v>
      </c>
    </row>
    <row r="26" spans="1:16" x14ac:dyDescent="0.2">
      <c r="A26" t="s">
        <v>10</v>
      </c>
      <c r="B26" t="s">
        <v>4</v>
      </c>
      <c r="C26" s="1">
        <v>4.2089999999999996</v>
      </c>
      <c r="D26" s="1">
        <v>0.92430000000000001</v>
      </c>
      <c r="E26">
        <f t="shared" si="0"/>
        <v>0.92434852249625232</v>
      </c>
      <c r="K26" t="s">
        <v>10</v>
      </c>
      <c r="L26" t="s">
        <v>6</v>
      </c>
      <c r="M26" s="1">
        <v>0</v>
      </c>
      <c r="N26" s="1">
        <v>0.16089999999999999</v>
      </c>
      <c r="O26">
        <f t="shared" si="1"/>
        <v>0.16089119001997634</v>
      </c>
    </row>
    <row r="27" spans="1:16" x14ac:dyDescent="0.2">
      <c r="A27" t="s">
        <v>10</v>
      </c>
      <c r="B27" t="s">
        <v>4</v>
      </c>
      <c r="C27" s="1">
        <v>4.1680000000000001</v>
      </c>
      <c r="D27" s="1">
        <v>0.91590000000000005</v>
      </c>
      <c r="E27">
        <f t="shared" si="0"/>
        <v>0.91592911267634558</v>
      </c>
      <c r="K27" t="s">
        <v>10</v>
      </c>
      <c r="L27" t="s">
        <v>6</v>
      </c>
      <c r="M27" s="1">
        <v>0</v>
      </c>
      <c r="N27" s="1">
        <v>0.16089999999999999</v>
      </c>
      <c r="O27">
        <f t="shared" si="1"/>
        <v>0.16089119001997634</v>
      </c>
    </row>
    <row r="28" spans="1:16" x14ac:dyDescent="0.2">
      <c r="A28" t="s">
        <v>10</v>
      </c>
      <c r="B28" t="s">
        <v>4</v>
      </c>
      <c r="C28" s="1">
        <v>4.181</v>
      </c>
      <c r="D28" s="1">
        <v>0.91859999999999997</v>
      </c>
      <c r="E28">
        <f t="shared" si="0"/>
        <v>0.91859868164363312</v>
      </c>
      <c r="K28" t="s">
        <v>10</v>
      </c>
      <c r="L28" t="s">
        <v>6</v>
      </c>
      <c r="M28" s="1">
        <v>0</v>
      </c>
      <c r="N28" s="1">
        <v>0.16089999999999999</v>
      </c>
      <c r="O28">
        <f t="shared" si="1"/>
        <v>0.16089119001997634</v>
      </c>
    </row>
    <row r="29" spans="1:16" x14ac:dyDescent="0.2">
      <c r="A29" t="s">
        <v>11</v>
      </c>
      <c r="B29" t="s">
        <v>4</v>
      </c>
      <c r="C29" s="1">
        <v>116</v>
      </c>
      <c r="D29" s="1">
        <v>23.88</v>
      </c>
      <c r="E29">
        <f t="shared" si="0"/>
        <v>23.88079347803766</v>
      </c>
      <c r="K29" t="s">
        <v>11</v>
      </c>
      <c r="L29" t="s">
        <v>6</v>
      </c>
      <c r="M29" s="1">
        <v>29.8</v>
      </c>
      <c r="N29" s="1">
        <v>7.7539999999999996</v>
      </c>
      <c r="O29">
        <f t="shared" si="1"/>
        <v>6.2353336866566105</v>
      </c>
    </row>
    <row r="30" spans="1:16" x14ac:dyDescent="0.2">
      <c r="A30" t="s">
        <v>11</v>
      </c>
      <c r="B30" t="s">
        <v>4</v>
      </c>
      <c r="C30" s="1">
        <v>120.3</v>
      </c>
      <c r="D30" s="1">
        <v>24.76</v>
      </c>
      <c r="E30">
        <f t="shared" si="0"/>
        <v>24.763804751832762</v>
      </c>
      <c r="K30" t="s">
        <v>11</v>
      </c>
      <c r="L30" t="s">
        <v>6</v>
      </c>
      <c r="M30" s="1">
        <v>30.77</v>
      </c>
      <c r="N30" s="1">
        <v>8.0009999999999994</v>
      </c>
      <c r="O30">
        <f t="shared" si="1"/>
        <v>6.4330588283256551</v>
      </c>
    </row>
    <row r="31" spans="1:16" x14ac:dyDescent="0.2">
      <c r="A31" t="s">
        <v>11</v>
      </c>
      <c r="B31" t="s">
        <v>4</v>
      </c>
      <c r="C31" s="1">
        <v>118.1</v>
      </c>
      <c r="D31" s="1">
        <v>24.31</v>
      </c>
      <c r="E31">
        <f t="shared" si="0"/>
        <v>24.312031541984105</v>
      </c>
      <c r="K31" t="s">
        <v>11</v>
      </c>
      <c r="L31" t="s">
        <v>6</v>
      </c>
      <c r="M31" s="1">
        <v>30.64</v>
      </c>
      <c r="N31" s="1">
        <v>7.968</v>
      </c>
      <c r="O31">
        <f t="shared" si="1"/>
        <v>6.4065595825349586</v>
      </c>
    </row>
    <row r="32" spans="1:16" x14ac:dyDescent="0.2">
      <c r="A32" t="s">
        <v>12</v>
      </c>
      <c r="B32" t="s">
        <v>4</v>
      </c>
      <c r="C32" s="1">
        <v>118.1</v>
      </c>
      <c r="D32" s="1">
        <v>24.31</v>
      </c>
      <c r="E32">
        <f t="shared" si="0"/>
        <v>24.312031541984105</v>
      </c>
      <c r="K32" t="s">
        <v>12</v>
      </c>
      <c r="L32" t="s">
        <v>6</v>
      </c>
      <c r="M32" s="1">
        <v>29.11</v>
      </c>
      <c r="N32" s="1">
        <v>7.5780000000000003</v>
      </c>
      <c r="O32">
        <f t="shared" si="1"/>
        <v>6.0946838436136819</v>
      </c>
    </row>
    <row r="33" spans="1:15" x14ac:dyDescent="0.2">
      <c r="A33" t="s">
        <v>12</v>
      </c>
      <c r="B33" t="s">
        <v>4</v>
      </c>
      <c r="C33" s="1">
        <v>122.6</v>
      </c>
      <c r="D33" s="1">
        <v>25.24</v>
      </c>
      <c r="E33">
        <f t="shared" si="0"/>
        <v>25.236113107583627</v>
      </c>
      <c r="K33" t="s">
        <v>12</v>
      </c>
      <c r="L33" t="s">
        <v>6</v>
      </c>
      <c r="M33" s="1">
        <v>29.56</v>
      </c>
      <c r="N33" s="1">
        <v>7.6929999999999996</v>
      </c>
      <c r="O33">
        <f t="shared" si="1"/>
        <v>6.1864120021199396</v>
      </c>
    </row>
    <row r="34" spans="1:15" x14ac:dyDescent="0.2">
      <c r="A34" t="s">
        <v>12</v>
      </c>
      <c r="B34" t="s">
        <v>4</v>
      </c>
      <c r="C34" s="1">
        <v>120.6</v>
      </c>
      <c r="D34" s="1">
        <v>24.83</v>
      </c>
      <c r="E34">
        <f t="shared" si="0"/>
        <v>24.825410189539394</v>
      </c>
      <c r="K34" t="s">
        <v>12</v>
      </c>
      <c r="L34" t="s">
        <v>6</v>
      </c>
      <c r="M34" s="1">
        <v>29.33</v>
      </c>
      <c r="N34" s="1">
        <v>7.6340000000000003</v>
      </c>
      <c r="O34">
        <f t="shared" si="1"/>
        <v>6.1395287211056297</v>
      </c>
    </row>
    <row r="35" spans="1:15" x14ac:dyDescent="0.2">
      <c r="A35" t="s">
        <v>13</v>
      </c>
      <c r="B35" t="s">
        <v>4</v>
      </c>
      <c r="C35" s="1">
        <v>124.1</v>
      </c>
      <c r="D35" s="1">
        <v>25.54</v>
      </c>
      <c r="E35">
        <f t="shared" si="0"/>
        <v>25.544140296116801</v>
      </c>
      <c r="K35" t="s">
        <v>13</v>
      </c>
      <c r="L35" t="s">
        <v>6</v>
      </c>
      <c r="M35" s="1">
        <v>31.24</v>
      </c>
      <c r="N35" s="1">
        <v>8.1210000000000004</v>
      </c>
      <c r="O35">
        <f t="shared" si="1"/>
        <v>6.5288637938766358</v>
      </c>
    </row>
    <row r="36" spans="1:15" x14ac:dyDescent="0.2">
      <c r="A36" t="s">
        <v>13</v>
      </c>
      <c r="B36" t="s">
        <v>4</v>
      </c>
      <c r="C36" s="1">
        <v>121.9</v>
      </c>
      <c r="D36" s="1">
        <v>25.09</v>
      </c>
      <c r="E36">
        <f t="shared" si="0"/>
        <v>25.092367086268148</v>
      </c>
      <c r="K36" t="s">
        <v>13</v>
      </c>
      <c r="L36" t="s">
        <v>6</v>
      </c>
      <c r="M36" s="1">
        <v>31.74</v>
      </c>
      <c r="N36" s="1">
        <v>8.2479999999999993</v>
      </c>
      <c r="O36">
        <f t="shared" si="1"/>
        <v>6.6307839699946998</v>
      </c>
    </row>
    <row r="37" spans="1:15" x14ac:dyDescent="0.2">
      <c r="A37" t="s">
        <v>13</v>
      </c>
      <c r="B37" t="s">
        <v>4</v>
      </c>
      <c r="C37" s="1">
        <v>126.2</v>
      </c>
      <c r="D37" s="1">
        <v>25.98</v>
      </c>
      <c r="E37">
        <f t="shared" si="0"/>
        <v>25.97537836006325</v>
      </c>
      <c r="K37" t="s">
        <v>13</v>
      </c>
      <c r="L37" t="s">
        <v>6</v>
      </c>
      <c r="M37" s="1">
        <v>30.94</v>
      </c>
      <c r="N37" s="1">
        <v>8.0440000000000005</v>
      </c>
      <c r="O37">
        <f t="shared" si="1"/>
        <v>6.4677116882057977</v>
      </c>
    </row>
    <row r="38" spans="1:15" x14ac:dyDescent="0.2">
      <c r="A38" t="s">
        <v>14</v>
      </c>
      <c r="B38" t="s">
        <v>4</v>
      </c>
      <c r="C38" s="1">
        <v>36.840000000000003</v>
      </c>
      <c r="D38" s="1">
        <v>7.625</v>
      </c>
      <c r="E38">
        <f t="shared" si="0"/>
        <v>7.6251719818469317</v>
      </c>
      <c r="K38" t="s">
        <v>14</v>
      </c>
      <c r="L38" t="s">
        <v>6</v>
      </c>
      <c r="M38" s="1">
        <v>4.5039999999999996</v>
      </c>
      <c r="N38" s="1">
        <v>1.3089999999999999</v>
      </c>
      <c r="O38">
        <f t="shared" si="1"/>
        <v>1.0789881364914997</v>
      </c>
    </row>
    <row r="39" spans="1:15" x14ac:dyDescent="0.2">
      <c r="A39" t="s">
        <v>14</v>
      </c>
      <c r="B39" t="s">
        <v>4</v>
      </c>
      <c r="C39" s="1">
        <v>36.82</v>
      </c>
      <c r="D39" s="1">
        <v>7.6210000000000004</v>
      </c>
      <c r="E39">
        <f t="shared" si="0"/>
        <v>7.6210649526664884</v>
      </c>
      <c r="K39" t="s">
        <v>14</v>
      </c>
      <c r="L39" t="s">
        <v>6</v>
      </c>
      <c r="M39" s="1">
        <v>4.8259999999999996</v>
      </c>
      <c r="N39" s="1">
        <v>1.391</v>
      </c>
      <c r="O39">
        <f t="shared" si="1"/>
        <v>1.1446247299115331</v>
      </c>
    </row>
    <row r="40" spans="1:15" x14ac:dyDescent="0.2">
      <c r="A40" t="s">
        <v>14</v>
      </c>
      <c r="B40" t="s">
        <v>4</v>
      </c>
      <c r="C40" s="1">
        <v>38.03</v>
      </c>
      <c r="D40" s="1">
        <v>7.87</v>
      </c>
      <c r="E40">
        <f t="shared" si="0"/>
        <v>7.869540218083249</v>
      </c>
      <c r="K40" t="s">
        <v>14</v>
      </c>
      <c r="L40" t="s">
        <v>6</v>
      </c>
      <c r="M40" s="1">
        <v>4.9589999999999996</v>
      </c>
      <c r="N40" s="1">
        <v>1.4239999999999999</v>
      </c>
      <c r="O40">
        <f t="shared" si="1"/>
        <v>1.1717354967589382</v>
      </c>
    </row>
    <row r="41" spans="1:15" x14ac:dyDescent="0.2">
      <c r="A41" t="s">
        <v>15</v>
      </c>
      <c r="B41" t="s">
        <v>4</v>
      </c>
      <c r="C41" s="1">
        <v>38.74</v>
      </c>
      <c r="D41" s="1">
        <v>8.0150000000000006</v>
      </c>
      <c r="E41">
        <f t="shared" si="0"/>
        <v>8.0153397539889522</v>
      </c>
      <c r="K41" t="s">
        <v>15</v>
      </c>
      <c r="L41" t="s">
        <v>6</v>
      </c>
      <c r="M41" s="1">
        <v>4.6219999999999999</v>
      </c>
      <c r="N41" s="1">
        <v>1.339</v>
      </c>
      <c r="O41">
        <f t="shared" si="1"/>
        <v>1.103041298055363</v>
      </c>
    </row>
    <row r="42" spans="1:15" x14ac:dyDescent="0.2">
      <c r="A42" t="s">
        <v>15</v>
      </c>
      <c r="B42" t="s">
        <v>4</v>
      </c>
      <c r="C42" s="1">
        <v>38.58</v>
      </c>
      <c r="D42" s="1">
        <v>7.9820000000000002</v>
      </c>
      <c r="E42">
        <f t="shared" si="0"/>
        <v>7.9824835205454123</v>
      </c>
      <c r="K42" t="s">
        <v>15</v>
      </c>
      <c r="L42" t="s">
        <v>6</v>
      </c>
      <c r="M42" s="1">
        <v>4.7539999999999996</v>
      </c>
      <c r="N42" s="1">
        <v>1.3720000000000001</v>
      </c>
      <c r="O42">
        <f t="shared" si="1"/>
        <v>1.1299482245505319</v>
      </c>
    </row>
    <row r="43" spans="1:15" x14ac:dyDescent="0.2">
      <c r="A43" t="s">
        <v>15</v>
      </c>
      <c r="B43" t="s">
        <v>4</v>
      </c>
      <c r="C43" s="1">
        <v>39.36</v>
      </c>
      <c r="D43" s="1">
        <v>8.1430000000000007</v>
      </c>
      <c r="E43">
        <f t="shared" si="0"/>
        <v>8.1426576585826638</v>
      </c>
      <c r="K43" t="s">
        <v>15</v>
      </c>
      <c r="L43" t="s">
        <v>6</v>
      </c>
      <c r="M43" s="1">
        <v>5.17</v>
      </c>
      <c r="N43" s="1">
        <v>1.478</v>
      </c>
      <c r="O43">
        <f t="shared" si="1"/>
        <v>1.2147458110807614</v>
      </c>
    </row>
    <row r="44" spans="1:15" x14ac:dyDescent="0.2">
      <c r="A44" t="s">
        <v>16</v>
      </c>
      <c r="B44" t="s">
        <v>4</v>
      </c>
      <c r="C44" s="1">
        <v>38.409999999999997</v>
      </c>
      <c r="D44" s="1">
        <v>7.9480000000000004</v>
      </c>
      <c r="E44">
        <f t="shared" si="0"/>
        <v>7.9475737725116522</v>
      </c>
      <c r="K44" t="s">
        <v>16</v>
      </c>
      <c r="L44" t="s">
        <v>6</v>
      </c>
      <c r="M44" s="1">
        <v>4.6580000000000004</v>
      </c>
      <c r="N44" s="1">
        <v>1.3480000000000001</v>
      </c>
      <c r="O44">
        <f t="shared" si="1"/>
        <v>1.1103795507358636</v>
      </c>
    </row>
    <row r="45" spans="1:15" x14ac:dyDescent="0.2">
      <c r="A45" t="s">
        <v>16</v>
      </c>
      <c r="B45" t="s">
        <v>4</v>
      </c>
      <c r="C45" s="1">
        <v>38.130000000000003</v>
      </c>
      <c r="D45" s="1">
        <v>7.89</v>
      </c>
      <c r="E45">
        <f t="shared" si="0"/>
        <v>7.8900753639854608</v>
      </c>
      <c r="K45" t="s">
        <v>16</v>
      </c>
      <c r="L45" t="s">
        <v>6</v>
      </c>
      <c r="M45" s="1">
        <v>4.5270000000000001</v>
      </c>
      <c r="N45" s="1">
        <v>1.3140000000000001</v>
      </c>
      <c r="O45">
        <f t="shared" si="1"/>
        <v>1.0836764645929309</v>
      </c>
    </row>
    <row r="46" spans="1:15" x14ac:dyDescent="0.2">
      <c r="A46" t="s">
        <v>16</v>
      </c>
      <c r="B46" t="s">
        <v>4</v>
      </c>
      <c r="C46" s="1">
        <v>38.92</v>
      </c>
      <c r="D46" s="1">
        <v>8.0519999999999996</v>
      </c>
      <c r="E46">
        <f t="shared" si="0"/>
        <v>8.0523030166129335</v>
      </c>
      <c r="K46" t="s">
        <v>16</v>
      </c>
      <c r="L46" t="s">
        <v>6</v>
      </c>
      <c r="M46" s="1">
        <v>4.6769999999999996</v>
      </c>
      <c r="N46" s="1">
        <v>1.353</v>
      </c>
      <c r="O46">
        <f t="shared" si="1"/>
        <v>1.11425251742835</v>
      </c>
    </row>
    <row r="47" spans="1:15" x14ac:dyDescent="0.2">
      <c r="A47" t="s">
        <v>17</v>
      </c>
      <c r="B47" t="s">
        <v>4</v>
      </c>
      <c r="C47" s="1">
        <v>112.8</v>
      </c>
      <c r="D47" s="1">
        <v>23.22</v>
      </c>
      <c r="E47">
        <f t="shared" si="0"/>
        <v>23.223668809166888</v>
      </c>
      <c r="K47" t="s">
        <v>17</v>
      </c>
      <c r="L47" t="s">
        <v>6</v>
      </c>
      <c r="M47" s="1">
        <v>5.3970000000000002</v>
      </c>
      <c r="N47" s="1">
        <v>1.536</v>
      </c>
      <c r="O47">
        <f t="shared" si="1"/>
        <v>1.2610175710383627</v>
      </c>
    </row>
    <row r="48" spans="1:15" x14ac:dyDescent="0.2">
      <c r="A48" t="s">
        <v>17</v>
      </c>
      <c r="B48" t="s">
        <v>4</v>
      </c>
      <c r="C48" s="1">
        <v>111.2</v>
      </c>
      <c r="D48" s="1">
        <v>22.89</v>
      </c>
      <c r="E48">
        <f t="shared" si="0"/>
        <v>22.895106474731502</v>
      </c>
      <c r="K48" t="s">
        <v>17</v>
      </c>
      <c r="L48" t="s">
        <v>6</v>
      </c>
      <c r="M48" s="1">
        <v>5.4260000000000002</v>
      </c>
      <c r="N48" s="1">
        <v>1.5429999999999999</v>
      </c>
      <c r="O48">
        <f t="shared" si="1"/>
        <v>1.2669289412532105</v>
      </c>
    </row>
    <row r="49" spans="1:15" x14ac:dyDescent="0.2">
      <c r="A49" t="s">
        <v>17</v>
      </c>
      <c r="B49" t="s">
        <v>4</v>
      </c>
      <c r="C49" s="1">
        <v>113.7</v>
      </c>
      <c r="D49" s="1">
        <v>23.41</v>
      </c>
      <c r="E49">
        <f t="shared" si="0"/>
        <v>23.408485122286795</v>
      </c>
      <c r="K49" t="s">
        <v>17</v>
      </c>
      <c r="L49" t="s">
        <v>6</v>
      </c>
      <c r="M49" s="1">
        <v>5.5979999999999999</v>
      </c>
      <c r="N49" s="1">
        <v>1.587</v>
      </c>
      <c r="O49">
        <f t="shared" si="1"/>
        <v>1.3019894818378246</v>
      </c>
    </row>
    <row r="50" spans="1:15" x14ac:dyDescent="0.2">
      <c r="A50" t="s">
        <v>18</v>
      </c>
      <c r="B50" t="s">
        <v>4</v>
      </c>
      <c r="C50" s="1">
        <v>114.1</v>
      </c>
      <c r="D50" s="1">
        <v>23.49</v>
      </c>
      <c r="E50">
        <f t="shared" si="0"/>
        <v>23.490625705895638</v>
      </c>
      <c r="K50" t="s">
        <v>18</v>
      </c>
      <c r="L50" t="s">
        <v>6</v>
      </c>
      <c r="M50" s="1">
        <v>7.3319999999999999</v>
      </c>
      <c r="N50" s="1">
        <v>2.0289999999999999</v>
      </c>
      <c r="O50">
        <f t="shared" si="1"/>
        <v>1.6554486526152716</v>
      </c>
    </row>
    <row r="51" spans="1:15" x14ac:dyDescent="0.2">
      <c r="A51" t="s">
        <v>18</v>
      </c>
      <c r="B51" t="s">
        <v>4</v>
      </c>
      <c r="C51" s="1">
        <v>115.3</v>
      </c>
      <c r="D51" s="1">
        <v>23.74</v>
      </c>
      <c r="E51">
        <f t="shared" si="0"/>
        <v>23.737047456722181</v>
      </c>
      <c r="K51" t="s">
        <v>18</v>
      </c>
      <c r="L51" t="s">
        <v>6</v>
      </c>
      <c r="M51" s="1">
        <v>6.83</v>
      </c>
      <c r="N51" s="1">
        <v>1.901</v>
      </c>
      <c r="O51">
        <f t="shared" si="1"/>
        <v>1.5531207957927351</v>
      </c>
    </row>
    <row r="52" spans="1:15" x14ac:dyDescent="0.2">
      <c r="A52" t="s">
        <v>18</v>
      </c>
      <c r="B52" t="s">
        <v>4</v>
      </c>
      <c r="C52" s="1">
        <v>118.7</v>
      </c>
      <c r="D52" s="1">
        <v>24.44</v>
      </c>
      <c r="E52">
        <f t="shared" si="0"/>
        <v>24.435242417397376</v>
      </c>
      <c r="K52" t="s">
        <v>18</v>
      </c>
      <c r="L52" t="s">
        <v>6</v>
      </c>
      <c r="M52" s="1">
        <v>6.0880000000000001</v>
      </c>
      <c r="N52" s="1">
        <v>1.712</v>
      </c>
      <c r="O52">
        <f t="shared" si="1"/>
        <v>1.4018712544335277</v>
      </c>
    </row>
    <row r="53" spans="1:15" x14ac:dyDescent="0.2">
      <c r="A53" t="s">
        <v>19</v>
      </c>
      <c r="B53" t="s">
        <v>4</v>
      </c>
      <c r="C53" s="1">
        <v>114</v>
      </c>
      <c r="D53" s="1">
        <v>23.47</v>
      </c>
      <c r="E53">
        <f t="shared" si="0"/>
        <v>23.47009055999343</v>
      </c>
      <c r="K53" t="s">
        <v>19</v>
      </c>
      <c r="L53" t="s">
        <v>6</v>
      </c>
      <c r="M53" s="1">
        <v>5.6959999999999997</v>
      </c>
      <c r="N53" s="1">
        <v>1.6120000000000001</v>
      </c>
      <c r="O53">
        <f t="shared" si="1"/>
        <v>1.3219658363569651</v>
      </c>
    </row>
    <row r="54" spans="1:15" x14ac:dyDescent="0.2">
      <c r="A54" t="s">
        <v>19</v>
      </c>
      <c r="B54" t="s">
        <v>4</v>
      </c>
      <c r="C54" s="1">
        <v>111.9</v>
      </c>
      <c r="D54" s="1">
        <v>23.04</v>
      </c>
      <c r="E54">
        <f t="shared" si="0"/>
        <v>23.038852496046985</v>
      </c>
      <c r="K54" t="s">
        <v>19</v>
      </c>
      <c r="L54" t="s">
        <v>6</v>
      </c>
      <c r="M54" s="1">
        <v>5.9930000000000003</v>
      </c>
      <c r="N54" s="1">
        <v>1.6879999999999999</v>
      </c>
      <c r="O54">
        <f t="shared" si="1"/>
        <v>1.3825064209710953</v>
      </c>
    </row>
    <row r="55" spans="1:15" x14ac:dyDescent="0.2">
      <c r="A55" t="s">
        <v>19</v>
      </c>
      <c r="B55" t="s">
        <v>4</v>
      </c>
      <c r="C55" s="1">
        <v>111.7</v>
      </c>
      <c r="D55" s="1">
        <v>23</v>
      </c>
      <c r="E55">
        <f t="shared" si="0"/>
        <v>22.997782204242561</v>
      </c>
      <c r="K55" t="s">
        <v>19</v>
      </c>
      <c r="L55" t="s">
        <v>6</v>
      </c>
      <c r="M55" s="1">
        <v>5.72</v>
      </c>
      <c r="N55" s="1">
        <v>1.6180000000000001</v>
      </c>
      <c r="O55">
        <f t="shared" si="1"/>
        <v>1.3268580048106322</v>
      </c>
    </row>
    <row r="56" spans="1:15" x14ac:dyDescent="0.2">
      <c r="A56" t="s">
        <v>20</v>
      </c>
      <c r="B56" t="s">
        <v>4</v>
      </c>
      <c r="C56" s="1">
        <v>26.59</v>
      </c>
      <c r="D56" s="1">
        <v>5.52</v>
      </c>
      <c r="E56">
        <f t="shared" si="0"/>
        <v>5.5203195268702387</v>
      </c>
      <c r="K56" t="s">
        <v>20</v>
      </c>
      <c r="L56" t="s">
        <v>6</v>
      </c>
      <c r="M56" s="1">
        <v>1.488</v>
      </c>
      <c r="N56" s="1">
        <v>0.54</v>
      </c>
      <c r="O56">
        <f t="shared" si="1"/>
        <v>0.46420563414733579</v>
      </c>
    </row>
    <row r="57" spans="1:15" x14ac:dyDescent="0.2">
      <c r="A57" t="s">
        <v>20</v>
      </c>
      <c r="B57" t="s">
        <v>4</v>
      </c>
      <c r="C57" s="1">
        <v>25.82</v>
      </c>
      <c r="D57" s="1">
        <v>5.3620000000000001</v>
      </c>
      <c r="E57">
        <f t="shared" si="0"/>
        <v>5.3621989034232094</v>
      </c>
      <c r="K57" t="s">
        <v>20</v>
      </c>
      <c r="L57" t="s">
        <v>6</v>
      </c>
      <c r="M57" s="1">
        <v>1.3879999999999999</v>
      </c>
      <c r="N57" s="1">
        <v>0.51459999999999995</v>
      </c>
      <c r="O57">
        <f t="shared" si="1"/>
        <v>0.44382159892372286</v>
      </c>
    </row>
    <row r="58" spans="1:15" x14ac:dyDescent="0.2">
      <c r="A58" t="s">
        <v>20</v>
      </c>
      <c r="B58" t="s">
        <v>4</v>
      </c>
      <c r="C58" s="1">
        <v>26.66</v>
      </c>
      <c r="D58" s="1">
        <v>5.5350000000000001</v>
      </c>
      <c r="E58">
        <f t="shared" si="0"/>
        <v>5.534694129001787</v>
      </c>
      <c r="K58" t="s">
        <v>20</v>
      </c>
      <c r="L58" t="s">
        <v>6</v>
      </c>
      <c r="M58" s="1">
        <v>1.456</v>
      </c>
      <c r="N58" s="1">
        <v>0.53190000000000004</v>
      </c>
      <c r="O58">
        <f t="shared" si="1"/>
        <v>0.45768274287577965</v>
      </c>
    </row>
    <row r="59" spans="1:15" x14ac:dyDescent="0.2">
      <c r="A59" t="s">
        <v>21</v>
      </c>
      <c r="B59" t="s">
        <v>4</v>
      </c>
      <c r="C59" s="1">
        <v>22.66</v>
      </c>
      <c r="D59" s="1">
        <v>4.7130000000000001</v>
      </c>
      <c r="E59">
        <f t="shared" si="0"/>
        <v>4.7132882929133215</v>
      </c>
      <c r="K59" t="s">
        <v>21</v>
      </c>
      <c r="L59" t="s">
        <v>6</v>
      </c>
      <c r="M59" s="1">
        <v>1.5429999999999999</v>
      </c>
      <c r="N59" s="1">
        <v>0.55400000000000005</v>
      </c>
      <c r="O59">
        <f t="shared" si="1"/>
        <v>0.47541685352032287</v>
      </c>
    </row>
    <row r="60" spans="1:15" x14ac:dyDescent="0.2">
      <c r="A60" t="s">
        <v>21</v>
      </c>
      <c r="B60" t="s">
        <v>4</v>
      </c>
      <c r="C60" s="1">
        <v>22.62</v>
      </c>
      <c r="D60" s="1">
        <v>4.7050000000000001</v>
      </c>
      <c r="E60">
        <f t="shared" si="0"/>
        <v>4.7050742345524368</v>
      </c>
      <c r="K60" t="s">
        <v>21</v>
      </c>
      <c r="L60" t="s">
        <v>6</v>
      </c>
      <c r="M60" s="1">
        <v>1.544</v>
      </c>
      <c r="N60" s="1">
        <v>0.55430000000000001</v>
      </c>
      <c r="O60">
        <f t="shared" si="1"/>
        <v>0.47562069387255901</v>
      </c>
    </row>
    <row r="61" spans="1:15" x14ac:dyDescent="0.2">
      <c r="A61" t="s">
        <v>21</v>
      </c>
      <c r="B61" t="s">
        <v>4</v>
      </c>
      <c r="C61" s="1">
        <v>22.15</v>
      </c>
      <c r="D61" s="1">
        <v>4.609</v>
      </c>
      <c r="E61">
        <f t="shared" si="0"/>
        <v>4.608559048812042</v>
      </c>
      <c r="K61" t="s">
        <v>21</v>
      </c>
      <c r="L61" t="s">
        <v>6</v>
      </c>
      <c r="M61" s="1">
        <v>1.583</v>
      </c>
      <c r="N61" s="1">
        <v>0.56420000000000003</v>
      </c>
      <c r="O61">
        <f t="shared" si="1"/>
        <v>0.48357046760976802</v>
      </c>
    </row>
    <row r="62" spans="1:15" x14ac:dyDescent="0.2">
      <c r="A62" t="s">
        <v>22</v>
      </c>
      <c r="B62" t="s">
        <v>4</v>
      </c>
      <c r="C62" s="1">
        <v>23.28</v>
      </c>
      <c r="D62" s="1">
        <v>4.8410000000000002</v>
      </c>
      <c r="E62">
        <f t="shared" si="0"/>
        <v>4.840606197507034</v>
      </c>
      <c r="K62" t="s">
        <v>22</v>
      </c>
      <c r="L62" t="s">
        <v>6</v>
      </c>
      <c r="M62" s="1">
        <v>1.772</v>
      </c>
      <c r="N62" s="1">
        <v>0.61240000000000006</v>
      </c>
      <c r="O62">
        <f t="shared" si="1"/>
        <v>0.52209629418239634</v>
      </c>
    </row>
    <row r="63" spans="1:15" x14ac:dyDescent="0.2">
      <c r="A63" t="s">
        <v>22</v>
      </c>
      <c r="B63" t="s">
        <v>4</v>
      </c>
      <c r="C63" s="1">
        <v>24.07</v>
      </c>
      <c r="D63" s="1">
        <v>5.0030000000000001</v>
      </c>
      <c r="E63">
        <f t="shared" si="0"/>
        <v>5.0028338501345058</v>
      </c>
      <c r="K63" t="s">
        <v>22</v>
      </c>
      <c r="L63" t="s">
        <v>6</v>
      </c>
      <c r="M63" s="1">
        <v>1.853</v>
      </c>
      <c r="N63" s="1">
        <v>0.63300000000000001</v>
      </c>
      <c r="O63">
        <f t="shared" si="1"/>
        <v>0.53860736271352272</v>
      </c>
    </row>
    <row r="64" spans="1:15" x14ac:dyDescent="0.2">
      <c r="A64" t="s">
        <v>22</v>
      </c>
      <c r="B64" t="s">
        <v>4</v>
      </c>
      <c r="C64" s="1">
        <v>24.07</v>
      </c>
      <c r="D64" s="1">
        <v>5.0030000000000001</v>
      </c>
      <c r="E64">
        <f t="shared" si="0"/>
        <v>5.0028338501345058</v>
      </c>
      <c r="K64" t="s">
        <v>22</v>
      </c>
      <c r="L64" t="s">
        <v>6</v>
      </c>
      <c r="M64" s="1">
        <v>1.905</v>
      </c>
      <c r="N64" s="1">
        <v>0.64629999999999999</v>
      </c>
      <c r="O64">
        <f t="shared" si="1"/>
        <v>0.54920706102980144</v>
      </c>
    </row>
    <row r="65" spans="1:15" x14ac:dyDescent="0.2">
      <c r="A65" t="s">
        <v>23</v>
      </c>
      <c r="B65" t="s">
        <v>4</v>
      </c>
      <c r="C65" s="1">
        <v>78.73</v>
      </c>
      <c r="D65" s="1">
        <v>16.23</v>
      </c>
      <c r="E65">
        <f t="shared" si="0"/>
        <v>16.227344600283384</v>
      </c>
      <c r="K65" t="s">
        <v>23</v>
      </c>
      <c r="L65" t="s">
        <v>6</v>
      </c>
      <c r="M65" s="1">
        <v>2.77</v>
      </c>
      <c r="N65" s="1">
        <v>0.86670000000000003</v>
      </c>
      <c r="O65">
        <f t="shared" si="1"/>
        <v>0.72552896571405268</v>
      </c>
    </row>
    <row r="66" spans="1:15" x14ac:dyDescent="0.2">
      <c r="A66" t="s">
        <v>23</v>
      </c>
      <c r="B66" t="s">
        <v>4</v>
      </c>
      <c r="C66" s="1">
        <v>81.31</v>
      </c>
      <c r="D66" s="1">
        <v>16.760000000000002</v>
      </c>
      <c r="E66">
        <f t="shared" si="0"/>
        <v>16.757151364560446</v>
      </c>
      <c r="K66" t="s">
        <v>23</v>
      </c>
      <c r="L66" t="s">
        <v>6</v>
      </c>
      <c r="M66" s="1">
        <v>2.7839999999999998</v>
      </c>
      <c r="N66" s="1">
        <v>0.87029999999999996</v>
      </c>
      <c r="O66">
        <f t="shared" si="1"/>
        <v>0.72838273064535852</v>
      </c>
    </row>
    <row r="67" spans="1:15" x14ac:dyDescent="0.2">
      <c r="A67" t="s">
        <v>23</v>
      </c>
      <c r="B67" t="s">
        <v>4</v>
      </c>
      <c r="C67" s="1">
        <v>81.06</v>
      </c>
      <c r="D67" s="1">
        <v>16.71</v>
      </c>
      <c r="E67">
        <f t="shared" si="0"/>
        <v>16.705813499804915</v>
      </c>
      <c r="K67" t="s">
        <v>23</v>
      </c>
      <c r="L67" t="s">
        <v>6</v>
      </c>
      <c r="M67" s="1">
        <v>2.7879999999999998</v>
      </c>
      <c r="N67" s="1">
        <v>0.87129999999999996</v>
      </c>
      <c r="O67">
        <f t="shared" si="1"/>
        <v>0.72919809205430297</v>
      </c>
    </row>
    <row r="68" spans="1:15" x14ac:dyDescent="0.2">
      <c r="A68" t="s">
        <v>24</v>
      </c>
      <c r="B68" t="s">
        <v>4</v>
      </c>
      <c r="C68" s="1">
        <v>83.9</v>
      </c>
      <c r="D68" s="1">
        <v>17.29</v>
      </c>
      <c r="E68">
        <f t="shared" si="0"/>
        <v>17.289011643427727</v>
      </c>
      <c r="K68" t="s">
        <v>24</v>
      </c>
      <c r="L68" t="s">
        <v>6</v>
      </c>
      <c r="M68" s="1">
        <v>3.2309999999999999</v>
      </c>
      <c r="N68" s="1">
        <v>0.98419999999999996</v>
      </c>
      <c r="O68">
        <f t="shared" si="1"/>
        <v>0.81949936809490798</v>
      </c>
    </row>
    <row r="69" spans="1:15" x14ac:dyDescent="0.2">
      <c r="A69" t="s">
        <v>24</v>
      </c>
      <c r="B69" t="s">
        <v>4</v>
      </c>
      <c r="C69" s="1">
        <v>86.73</v>
      </c>
      <c r="D69" s="1">
        <v>17.87</v>
      </c>
      <c r="E69">
        <f t="shared" si="0"/>
        <v>17.870156272460317</v>
      </c>
      <c r="K69" t="s">
        <v>24</v>
      </c>
      <c r="L69" t="s">
        <v>6</v>
      </c>
      <c r="M69" s="1">
        <v>3.2610000000000001</v>
      </c>
      <c r="N69" s="1">
        <v>0.99180000000000001</v>
      </c>
      <c r="O69">
        <f t="shared" si="1"/>
        <v>0.82561457866199195</v>
      </c>
    </row>
    <row r="70" spans="1:15" x14ac:dyDescent="0.2">
      <c r="A70" t="s">
        <v>24</v>
      </c>
      <c r="B70" t="s">
        <v>4</v>
      </c>
      <c r="C70" s="1">
        <v>85.48</v>
      </c>
      <c r="D70" s="1">
        <v>17.61</v>
      </c>
      <c r="E70">
        <f t="shared" si="0"/>
        <v>17.613466948682671</v>
      </c>
      <c r="K70" t="s">
        <v>24</v>
      </c>
      <c r="L70" t="s">
        <v>6</v>
      </c>
      <c r="M70" s="1">
        <v>3.33</v>
      </c>
      <c r="N70" s="1">
        <v>1.0089999999999999</v>
      </c>
      <c r="O70">
        <f t="shared" si="1"/>
        <v>0.83967956296628476</v>
      </c>
    </row>
    <row r="71" spans="1:15" x14ac:dyDescent="0.2">
      <c r="A71" t="s">
        <v>25</v>
      </c>
      <c r="B71" t="s">
        <v>4</v>
      </c>
      <c r="C71" s="1">
        <v>82.18</v>
      </c>
      <c r="D71" s="1">
        <v>16.940000000000001</v>
      </c>
      <c r="E71">
        <f t="shared" si="0"/>
        <v>16.935807133909687</v>
      </c>
      <c r="K71" t="s">
        <v>25</v>
      </c>
      <c r="L71" t="s">
        <v>6</v>
      </c>
      <c r="M71" s="1">
        <v>3.2530000000000001</v>
      </c>
      <c r="N71" s="1">
        <v>0.98980000000000001</v>
      </c>
      <c r="O71">
        <f t="shared" si="1"/>
        <v>0.82398385584410283</v>
      </c>
    </row>
    <row r="72" spans="1:15" x14ac:dyDescent="0.2">
      <c r="A72" t="s">
        <v>25</v>
      </c>
      <c r="B72" t="s">
        <v>4</v>
      </c>
      <c r="C72" s="1">
        <v>79.72</v>
      </c>
      <c r="D72" s="1">
        <v>16.43</v>
      </c>
      <c r="E72">
        <f t="shared" si="0"/>
        <v>16.43064254471528</v>
      </c>
      <c r="K72" t="s">
        <v>25</v>
      </c>
      <c r="L72" t="s">
        <v>6</v>
      </c>
      <c r="M72" s="1">
        <v>3.4</v>
      </c>
      <c r="N72" s="1">
        <v>1.0269999999999999</v>
      </c>
      <c r="O72">
        <f t="shared" si="1"/>
        <v>0.85394838762281389</v>
      </c>
    </row>
    <row r="73" spans="1:15" x14ac:dyDescent="0.2">
      <c r="A73" t="s">
        <v>25</v>
      </c>
      <c r="B73" t="s">
        <v>4</v>
      </c>
      <c r="C73" s="1">
        <v>80.459999999999994</v>
      </c>
      <c r="D73" s="1">
        <v>16.579999999999998</v>
      </c>
      <c r="E73">
        <f t="shared" si="0"/>
        <v>16.582602624391644</v>
      </c>
      <c r="K73" t="s">
        <v>25</v>
      </c>
      <c r="L73" t="s">
        <v>6</v>
      </c>
      <c r="M73" s="1">
        <v>3.3919999999999999</v>
      </c>
      <c r="N73" s="1">
        <v>1.0249999999999999</v>
      </c>
      <c r="O73">
        <f t="shared" si="1"/>
        <v>0.85231766480492477</v>
      </c>
    </row>
    <row r="74" spans="1:15" x14ac:dyDescent="0.2">
      <c r="A74" t="s">
        <v>8</v>
      </c>
      <c r="B74" t="s">
        <v>4</v>
      </c>
      <c r="C74" s="1">
        <v>0</v>
      </c>
      <c r="D74" s="1">
        <v>6.0019999999999997E-2</v>
      </c>
      <c r="E74">
        <f t="shared" si="0"/>
        <v>6.002423147216461E-2</v>
      </c>
      <c r="K74" t="s">
        <v>8</v>
      </c>
      <c r="L74" t="s">
        <v>6</v>
      </c>
      <c r="M74" s="1">
        <v>0</v>
      </c>
      <c r="N74" s="1">
        <v>0.16089999999999999</v>
      </c>
      <c r="O74">
        <f t="shared" si="1"/>
        <v>0.16089119001997634</v>
      </c>
    </row>
    <row r="75" spans="1:15" x14ac:dyDescent="0.2">
      <c r="A75" t="s">
        <v>8</v>
      </c>
      <c r="B75" t="s">
        <v>4</v>
      </c>
      <c r="C75" s="1">
        <v>0</v>
      </c>
      <c r="D75" s="1">
        <v>6.0019999999999997E-2</v>
      </c>
      <c r="E75">
        <f t="shared" si="0"/>
        <v>6.002423147216461E-2</v>
      </c>
      <c r="K75" t="s">
        <v>8</v>
      </c>
      <c r="L75" t="s">
        <v>6</v>
      </c>
      <c r="M75" s="1">
        <v>0</v>
      </c>
      <c r="N75" s="1">
        <v>0.16089999999999999</v>
      </c>
      <c r="O75">
        <f t="shared" si="1"/>
        <v>0.16089119001997634</v>
      </c>
    </row>
    <row r="76" spans="1:15" x14ac:dyDescent="0.2">
      <c r="A76" t="s">
        <v>8</v>
      </c>
      <c r="B76" t="s">
        <v>4</v>
      </c>
      <c r="C76" s="1">
        <v>0</v>
      </c>
      <c r="D76" s="1">
        <v>6.0019999999999997E-2</v>
      </c>
      <c r="E76">
        <f t="shared" si="0"/>
        <v>6.002423147216461E-2</v>
      </c>
      <c r="K76" t="s">
        <v>8</v>
      </c>
      <c r="L76" t="s">
        <v>6</v>
      </c>
      <c r="M76" s="1">
        <v>0</v>
      </c>
      <c r="N76" s="1">
        <v>0.16089999999999999</v>
      </c>
      <c r="O76">
        <f t="shared" si="1"/>
        <v>0.16089119001997634</v>
      </c>
    </row>
    <row r="77" spans="1:15" x14ac:dyDescent="0.2">
      <c r="A77" t="s">
        <v>9</v>
      </c>
      <c r="B77" t="s">
        <v>4</v>
      </c>
      <c r="C77" s="1">
        <v>111</v>
      </c>
      <c r="D77" s="1">
        <v>37.229999999999997</v>
      </c>
      <c r="E77">
        <f t="shared" si="0"/>
        <v>22.854036182927079</v>
      </c>
      <c r="K77" t="s">
        <v>9</v>
      </c>
      <c r="L77" t="s">
        <v>6</v>
      </c>
      <c r="M77" s="1">
        <v>94.92</v>
      </c>
      <c r="N77" s="1">
        <v>24.35</v>
      </c>
      <c r="O77">
        <f t="shared" si="1"/>
        <v>19.509417424273309</v>
      </c>
    </row>
    <row r="78" spans="1:15" x14ac:dyDescent="0.2">
      <c r="A78" t="s">
        <v>9</v>
      </c>
      <c r="B78" t="s">
        <v>4</v>
      </c>
      <c r="C78" s="1">
        <v>114.3</v>
      </c>
      <c r="D78" s="1">
        <v>34.340000000000003</v>
      </c>
      <c r="E78">
        <f t="shared" si="0"/>
        <v>23.531695997700062</v>
      </c>
      <c r="K78" t="s">
        <v>9</v>
      </c>
      <c r="L78" t="s">
        <v>6</v>
      </c>
      <c r="M78" s="1">
        <v>93.78</v>
      </c>
      <c r="N78" s="1">
        <v>24.06</v>
      </c>
      <c r="O78">
        <f t="shared" si="1"/>
        <v>19.277039422724123</v>
      </c>
    </row>
    <row r="79" spans="1:15" x14ac:dyDescent="0.2">
      <c r="A79" t="s">
        <v>9</v>
      </c>
      <c r="B79" t="s">
        <v>4</v>
      </c>
      <c r="C79" s="1">
        <v>113.9</v>
      </c>
      <c r="D79" s="1">
        <v>34.69</v>
      </c>
      <c r="E79">
        <f t="shared" si="0"/>
        <v>23.449555414091218</v>
      </c>
      <c r="K79" t="s">
        <v>9</v>
      </c>
      <c r="L79" t="s">
        <v>6</v>
      </c>
      <c r="M79" s="1">
        <v>96.92</v>
      </c>
      <c r="N79" s="1">
        <v>24.86</v>
      </c>
      <c r="O79">
        <f t="shared" si="1"/>
        <v>19.917098128745565</v>
      </c>
    </row>
    <row r="80" spans="1:15" x14ac:dyDescent="0.2">
      <c r="A80" t="s">
        <v>26</v>
      </c>
      <c r="B80" t="s">
        <v>4</v>
      </c>
      <c r="C80" s="1">
        <v>48.34</v>
      </c>
      <c r="D80" s="1">
        <v>9.9870000000000001</v>
      </c>
      <c r="E80">
        <f t="shared" si="0"/>
        <v>9.986713760601269</v>
      </c>
      <c r="K80" t="s">
        <v>26</v>
      </c>
      <c r="L80" t="s">
        <v>6</v>
      </c>
      <c r="M80" s="1">
        <v>2.512</v>
      </c>
      <c r="N80" s="1">
        <v>0.80089999999999995</v>
      </c>
      <c r="O80">
        <f t="shared" si="1"/>
        <v>0.67293815483713149</v>
      </c>
    </row>
    <row r="81" spans="1:15" x14ac:dyDescent="0.2">
      <c r="A81" t="s">
        <v>26</v>
      </c>
      <c r="B81" t="s">
        <v>4</v>
      </c>
      <c r="C81" s="1">
        <v>50.07</v>
      </c>
      <c r="D81" s="1">
        <v>10.34</v>
      </c>
      <c r="E81">
        <f t="shared" si="0"/>
        <v>10.34197178470953</v>
      </c>
      <c r="K81" t="s">
        <v>26</v>
      </c>
      <c r="L81" t="s">
        <v>6</v>
      </c>
      <c r="M81" s="1">
        <v>1.99</v>
      </c>
      <c r="N81" s="1">
        <v>0.66790000000000005</v>
      </c>
      <c r="O81">
        <f t="shared" si="1"/>
        <v>0.56653349096987238</v>
      </c>
    </row>
    <row r="82" spans="1:15" x14ac:dyDescent="0.2">
      <c r="A82" t="s">
        <v>26</v>
      </c>
      <c r="B82" t="s">
        <v>4</v>
      </c>
      <c r="C82" s="1">
        <v>49.05</v>
      </c>
      <c r="D82" s="1">
        <v>10.130000000000001</v>
      </c>
      <c r="E82">
        <f t="shared" si="0"/>
        <v>10.132513296506971</v>
      </c>
      <c r="K82" t="s">
        <v>26</v>
      </c>
      <c r="L82" t="s">
        <v>6</v>
      </c>
      <c r="M82" s="1">
        <v>2.0390000000000001</v>
      </c>
      <c r="N82" s="1">
        <v>0.6804</v>
      </c>
      <c r="O82">
        <f t="shared" si="1"/>
        <v>0.57652166822944273</v>
      </c>
    </row>
    <row r="83" spans="1:15" x14ac:dyDescent="0.2">
      <c r="A83" t="s">
        <v>27</v>
      </c>
      <c r="B83" t="s">
        <v>4</v>
      </c>
      <c r="C83" s="1">
        <v>48.6</v>
      </c>
      <c r="D83" s="1">
        <v>10.039999999999999</v>
      </c>
      <c r="E83">
        <f t="shared" si="0"/>
        <v>10.04010513994702</v>
      </c>
      <c r="K83" t="s">
        <v>27</v>
      </c>
      <c r="L83" t="s">
        <v>6</v>
      </c>
      <c r="M83" s="1">
        <v>2.4500000000000002</v>
      </c>
      <c r="N83" s="1">
        <v>0.78520000000000001</v>
      </c>
      <c r="O83">
        <f t="shared" si="1"/>
        <v>0.66030005299849159</v>
      </c>
    </row>
    <row r="84" spans="1:15" x14ac:dyDescent="0.2">
      <c r="A84" t="s">
        <v>27</v>
      </c>
      <c r="B84" t="s">
        <v>4</v>
      </c>
      <c r="C84" s="1">
        <v>48.09</v>
      </c>
      <c r="D84" s="1">
        <v>9.9350000000000005</v>
      </c>
      <c r="E84">
        <f t="shared" si="0"/>
        <v>9.9353758958457394</v>
      </c>
      <c r="K84" t="s">
        <v>27</v>
      </c>
      <c r="L84" t="s">
        <v>6</v>
      </c>
      <c r="M84" s="1">
        <v>2.4729999999999999</v>
      </c>
      <c r="N84" s="1">
        <v>0.79100000000000004</v>
      </c>
      <c r="O84">
        <f t="shared" si="1"/>
        <v>0.66498838109992242</v>
      </c>
    </row>
    <row r="85" spans="1:15" x14ac:dyDescent="0.2">
      <c r="A85" t="s">
        <v>27</v>
      </c>
      <c r="B85" t="s">
        <v>4</v>
      </c>
      <c r="C85" s="1">
        <v>47.52</v>
      </c>
      <c r="D85" s="1">
        <v>9.8179999999999996</v>
      </c>
      <c r="E85">
        <f t="shared" si="0"/>
        <v>9.8183255642031337</v>
      </c>
      <c r="K85" t="s">
        <v>27</v>
      </c>
      <c r="L85" t="s">
        <v>6</v>
      </c>
      <c r="M85" s="1">
        <v>2.3170000000000002</v>
      </c>
      <c r="N85" s="1">
        <v>0.75129999999999997</v>
      </c>
      <c r="O85">
        <f t="shared" si="1"/>
        <v>0.63318928615108649</v>
      </c>
    </row>
    <row r="86" spans="1:15" x14ac:dyDescent="0.2">
      <c r="A86" t="s">
        <v>28</v>
      </c>
      <c r="B86" t="s">
        <v>4</v>
      </c>
      <c r="C86" s="1">
        <v>47.86</v>
      </c>
      <c r="D86" s="1">
        <v>9.8879999999999999</v>
      </c>
      <c r="E86">
        <f t="shared" si="0"/>
        <v>9.8881450602706522</v>
      </c>
      <c r="K86" t="s">
        <v>28</v>
      </c>
      <c r="L86" t="s">
        <v>6</v>
      </c>
      <c r="M86" s="1">
        <v>2.6909999999999998</v>
      </c>
      <c r="N86" s="1">
        <v>0.84660000000000002</v>
      </c>
      <c r="O86">
        <f t="shared" si="1"/>
        <v>0.70942557788739846</v>
      </c>
    </row>
    <row r="87" spans="1:15" x14ac:dyDescent="0.2">
      <c r="A87" t="s">
        <v>28</v>
      </c>
      <c r="B87" t="s">
        <v>4</v>
      </c>
      <c r="C87" s="1">
        <v>46.63</v>
      </c>
      <c r="D87" s="1">
        <v>9.6359999999999992</v>
      </c>
      <c r="E87">
        <f t="shared" si="0"/>
        <v>9.6355627656734502</v>
      </c>
      <c r="K87" t="s">
        <v>28</v>
      </c>
      <c r="L87" t="s">
        <v>6</v>
      </c>
      <c r="M87" s="1">
        <v>2.7130000000000001</v>
      </c>
      <c r="N87" s="1">
        <v>0.85219999999999996</v>
      </c>
      <c r="O87">
        <f t="shared" si="1"/>
        <v>0.71391006563659343</v>
      </c>
    </row>
    <row r="88" spans="1:15" x14ac:dyDescent="0.2">
      <c r="A88" t="s">
        <v>28</v>
      </c>
      <c r="B88" t="s">
        <v>4</v>
      </c>
      <c r="C88" s="1">
        <v>46.53</v>
      </c>
      <c r="D88" s="1">
        <v>9.6150000000000002</v>
      </c>
      <c r="E88">
        <f t="shared" ref="E88:E151" si="2">(C88+0.2923)/4.8697</f>
        <v>9.6150276197712383</v>
      </c>
      <c r="K88" t="s">
        <v>28</v>
      </c>
      <c r="L88" t="s">
        <v>6</v>
      </c>
      <c r="M88" s="1">
        <v>2.4569999999999999</v>
      </c>
      <c r="N88" s="1">
        <v>0.78690000000000004</v>
      </c>
      <c r="O88">
        <f t="shared" ref="O88:O151" si="3">(M88+0.7893)/4.9058</f>
        <v>0.66172693546414441</v>
      </c>
    </row>
    <row r="89" spans="1:15" x14ac:dyDescent="0.2">
      <c r="A89" t="s">
        <v>29</v>
      </c>
      <c r="B89" t="s">
        <v>4</v>
      </c>
      <c r="C89" s="1">
        <v>16.649999999999999</v>
      </c>
      <c r="D89" s="1">
        <v>3.4790000000000001</v>
      </c>
      <c r="E89">
        <f t="shared" si="2"/>
        <v>3.4791260241904016</v>
      </c>
      <c r="K89" t="s">
        <v>29</v>
      </c>
      <c r="L89" t="s">
        <v>6</v>
      </c>
      <c r="M89" s="1">
        <v>2.294</v>
      </c>
      <c r="N89" s="1">
        <v>0.74539999999999995</v>
      </c>
      <c r="O89">
        <f t="shared" si="3"/>
        <v>0.62850095804965544</v>
      </c>
    </row>
    <row r="90" spans="1:15" x14ac:dyDescent="0.2">
      <c r="A90" t="s">
        <v>29</v>
      </c>
      <c r="B90" t="s">
        <v>4</v>
      </c>
      <c r="C90" s="1">
        <v>16.14</v>
      </c>
      <c r="D90" s="1">
        <v>3.3740000000000001</v>
      </c>
      <c r="E90">
        <f t="shared" si="2"/>
        <v>3.374396780089123</v>
      </c>
      <c r="K90" t="s">
        <v>29</v>
      </c>
      <c r="L90" t="s">
        <v>6</v>
      </c>
      <c r="M90" s="1">
        <v>2.1960000000000002</v>
      </c>
      <c r="N90" s="1">
        <v>0.72040000000000004</v>
      </c>
      <c r="O90">
        <f t="shared" si="3"/>
        <v>0.60852460353051485</v>
      </c>
    </row>
    <row r="91" spans="1:15" x14ac:dyDescent="0.2">
      <c r="A91" t="s">
        <v>29</v>
      </c>
      <c r="B91" t="s">
        <v>4</v>
      </c>
      <c r="C91" s="1">
        <v>16.45</v>
      </c>
      <c r="D91" s="1">
        <v>3.4380000000000002</v>
      </c>
      <c r="E91">
        <f t="shared" si="2"/>
        <v>3.4380557323859788</v>
      </c>
      <c r="K91" t="s">
        <v>29</v>
      </c>
      <c r="L91" t="s">
        <v>6</v>
      </c>
      <c r="M91" s="1">
        <v>2.1720000000000002</v>
      </c>
      <c r="N91" s="1">
        <v>0.71430000000000005</v>
      </c>
      <c r="O91">
        <f t="shared" si="3"/>
        <v>0.60363243507684783</v>
      </c>
    </row>
    <row r="92" spans="1:15" x14ac:dyDescent="0.2">
      <c r="A92" t="s">
        <v>30</v>
      </c>
      <c r="B92" t="s">
        <v>4</v>
      </c>
      <c r="C92" s="1">
        <v>17.579999999999998</v>
      </c>
      <c r="D92" s="1">
        <v>3.67</v>
      </c>
      <c r="E92">
        <f t="shared" si="2"/>
        <v>3.6701028810809699</v>
      </c>
      <c r="K92" t="s">
        <v>30</v>
      </c>
      <c r="L92" t="s">
        <v>6</v>
      </c>
      <c r="M92" s="1">
        <v>2.5299999999999998</v>
      </c>
      <c r="N92" s="1">
        <v>0.80549999999999999</v>
      </c>
      <c r="O92">
        <f t="shared" si="3"/>
        <v>0.67660728117738178</v>
      </c>
    </row>
    <row r="93" spans="1:15" x14ac:dyDescent="0.2">
      <c r="A93" t="s">
        <v>30</v>
      </c>
      <c r="B93" t="s">
        <v>4</v>
      </c>
      <c r="C93" s="1">
        <v>17.28</v>
      </c>
      <c r="D93" s="1">
        <v>3.6080000000000001</v>
      </c>
      <c r="E93">
        <f t="shared" si="2"/>
        <v>3.6084974433743358</v>
      </c>
      <c r="K93" t="s">
        <v>30</v>
      </c>
      <c r="L93" t="s">
        <v>6</v>
      </c>
      <c r="M93" s="1">
        <v>2.5049999999999999</v>
      </c>
      <c r="N93" s="1">
        <v>0.79920000000000002</v>
      </c>
      <c r="O93">
        <f t="shared" si="3"/>
        <v>0.67151127237147856</v>
      </c>
    </row>
    <row r="94" spans="1:15" x14ac:dyDescent="0.2">
      <c r="A94" t="s">
        <v>30</v>
      </c>
      <c r="B94" t="s">
        <v>4</v>
      </c>
      <c r="C94" s="1">
        <v>17.68</v>
      </c>
      <c r="D94" s="1">
        <v>3.6909999999999998</v>
      </c>
      <c r="E94">
        <f t="shared" si="2"/>
        <v>3.6906380269831818</v>
      </c>
      <c r="K94" t="s">
        <v>30</v>
      </c>
      <c r="L94" t="s">
        <v>6</v>
      </c>
      <c r="M94" s="1">
        <v>2.2759999999999998</v>
      </c>
      <c r="N94" s="1">
        <v>0.74080000000000001</v>
      </c>
      <c r="O94">
        <f t="shared" si="3"/>
        <v>0.62483183170940515</v>
      </c>
    </row>
    <row r="95" spans="1:15" x14ac:dyDescent="0.2">
      <c r="A95" t="s">
        <v>31</v>
      </c>
      <c r="B95" t="s">
        <v>4</v>
      </c>
      <c r="C95" s="1">
        <v>17.850000000000001</v>
      </c>
      <c r="D95" s="1">
        <v>3.726</v>
      </c>
      <c r="E95">
        <f t="shared" si="2"/>
        <v>3.7255477750169419</v>
      </c>
      <c r="K95" t="s">
        <v>31</v>
      </c>
      <c r="L95" t="s">
        <v>6</v>
      </c>
      <c r="M95" s="1">
        <v>2.387</v>
      </c>
      <c r="N95" s="1">
        <v>0.76910000000000001</v>
      </c>
      <c r="O95">
        <f t="shared" si="3"/>
        <v>0.64745811080761539</v>
      </c>
    </row>
    <row r="96" spans="1:15" x14ac:dyDescent="0.2">
      <c r="A96" t="s">
        <v>31</v>
      </c>
      <c r="B96" t="s">
        <v>4</v>
      </c>
      <c r="C96" s="1">
        <v>17.66</v>
      </c>
      <c r="D96" s="1">
        <v>3.6869999999999998</v>
      </c>
      <c r="E96">
        <f t="shared" si="2"/>
        <v>3.6865309978027399</v>
      </c>
      <c r="K96" t="s">
        <v>31</v>
      </c>
      <c r="L96" t="s">
        <v>6</v>
      </c>
      <c r="M96" s="1">
        <v>2.5129999999999999</v>
      </c>
      <c r="N96" s="1">
        <v>0.80120000000000002</v>
      </c>
      <c r="O96">
        <f t="shared" si="3"/>
        <v>0.67314199518936757</v>
      </c>
    </row>
    <row r="97" spans="1:15" x14ac:dyDescent="0.2">
      <c r="A97" t="s">
        <v>31</v>
      </c>
      <c r="B97" t="s">
        <v>4</v>
      </c>
      <c r="C97" s="1">
        <v>17.61</v>
      </c>
      <c r="D97" s="1">
        <v>3.6760000000000002</v>
      </c>
      <c r="E97">
        <f t="shared" si="2"/>
        <v>3.6762634248516335</v>
      </c>
      <c r="K97" t="s">
        <v>31</v>
      </c>
      <c r="L97" t="s">
        <v>6</v>
      </c>
      <c r="M97" s="1">
        <v>2.5409999999999999</v>
      </c>
      <c r="N97" s="1">
        <v>0.80830000000000002</v>
      </c>
      <c r="O97">
        <f t="shared" si="3"/>
        <v>0.67884952505197926</v>
      </c>
    </row>
    <row r="98" spans="1:15" x14ac:dyDescent="0.2">
      <c r="A98" t="s">
        <v>32</v>
      </c>
      <c r="B98" t="s">
        <v>4</v>
      </c>
      <c r="C98" s="1">
        <v>15.84</v>
      </c>
      <c r="D98" s="1">
        <v>3.3130000000000002</v>
      </c>
      <c r="E98">
        <f t="shared" si="2"/>
        <v>3.312791342382488</v>
      </c>
      <c r="K98" t="s">
        <v>32</v>
      </c>
      <c r="L98" t="s">
        <v>6</v>
      </c>
      <c r="M98" s="1">
        <v>0.92220000000000002</v>
      </c>
      <c r="N98" s="1">
        <v>0.39589999999999997</v>
      </c>
      <c r="O98">
        <f t="shared" si="3"/>
        <v>0.3488727628521342</v>
      </c>
    </row>
    <row r="99" spans="1:15" x14ac:dyDescent="0.2">
      <c r="A99" t="s">
        <v>32</v>
      </c>
      <c r="B99" t="s">
        <v>4</v>
      </c>
      <c r="C99" s="1">
        <v>15.76</v>
      </c>
      <c r="D99" s="1">
        <v>3.2959999999999998</v>
      </c>
      <c r="E99">
        <f t="shared" si="2"/>
        <v>3.296363225660718</v>
      </c>
      <c r="K99" t="s">
        <v>32</v>
      </c>
      <c r="L99" t="s">
        <v>6</v>
      </c>
      <c r="M99" s="1">
        <v>0.93279999999999996</v>
      </c>
      <c r="N99" s="1">
        <v>0.39860000000000001</v>
      </c>
      <c r="O99">
        <f t="shared" si="3"/>
        <v>0.35103347058583717</v>
      </c>
    </row>
    <row r="100" spans="1:15" x14ac:dyDescent="0.2">
      <c r="A100" t="s">
        <v>32</v>
      </c>
      <c r="B100" t="s">
        <v>4</v>
      </c>
      <c r="C100" s="1">
        <v>15.62</v>
      </c>
      <c r="D100" s="1">
        <v>3.2679999999999998</v>
      </c>
      <c r="E100">
        <f t="shared" si="2"/>
        <v>3.2676140213976219</v>
      </c>
      <c r="K100" t="s">
        <v>32</v>
      </c>
      <c r="L100" t="s">
        <v>6</v>
      </c>
      <c r="M100" s="1">
        <v>0.70830000000000004</v>
      </c>
      <c r="N100" s="1">
        <v>0.34139999999999998</v>
      </c>
      <c r="O100">
        <f t="shared" si="3"/>
        <v>0.3052713115088263</v>
      </c>
    </row>
    <row r="101" spans="1:15" x14ac:dyDescent="0.2">
      <c r="A101" t="s">
        <v>33</v>
      </c>
      <c r="B101" t="s">
        <v>4</v>
      </c>
      <c r="C101" s="1">
        <v>17.559999999999999</v>
      </c>
      <c r="D101" s="1">
        <v>3.6659999999999999</v>
      </c>
      <c r="E101">
        <f t="shared" si="2"/>
        <v>3.6659958519005276</v>
      </c>
      <c r="K101" t="s">
        <v>33</v>
      </c>
      <c r="L101" t="s">
        <v>6</v>
      </c>
      <c r="M101" s="1">
        <v>0.90800000000000003</v>
      </c>
      <c r="N101" s="1">
        <v>0.39229999999999998</v>
      </c>
      <c r="O101">
        <f t="shared" si="3"/>
        <v>0.34597822985038118</v>
      </c>
    </row>
    <row r="102" spans="1:15" x14ac:dyDescent="0.2">
      <c r="A102" t="s">
        <v>33</v>
      </c>
      <c r="B102" t="s">
        <v>4</v>
      </c>
      <c r="C102" s="1">
        <v>18.02</v>
      </c>
      <c r="D102" s="1">
        <v>3.76</v>
      </c>
      <c r="E102">
        <f t="shared" si="2"/>
        <v>3.7604575230507016</v>
      </c>
      <c r="K102" t="s">
        <v>33</v>
      </c>
      <c r="L102" t="s">
        <v>6</v>
      </c>
      <c r="M102" s="1">
        <v>0.91420000000000001</v>
      </c>
      <c r="N102" s="1">
        <v>0.39379999999999998</v>
      </c>
      <c r="O102">
        <f t="shared" si="3"/>
        <v>0.34724204003424519</v>
      </c>
    </row>
    <row r="103" spans="1:15" x14ac:dyDescent="0.2">
      <c r="A103" t="s">
        <v>33</v>
      </c>
      <c r="B103" t="s">
        <v>4</v>
      </c>
      <c r="C103" s="1">
        <v>17.5</v>
      </c>
      <c r="D103" s="1">
        <v>3.6539999999999999</v>
      </c>
      <c r="E103">
        <f t="shared" si="2"/>
        <v>3.6536747643592009</v>
      </c>
      <c r="K103" t="s">
        <v>33</v>
      </c>
      <c r="L103" t="s">
        <v>6</v>
      </c>
      <c r="M103" s="1">
        <v>0.8609</v>
      </c>
      <c r="N103" s="1">
        <v>0.38030000000000003</v>
      </c>
      <c r="O103">
        <f t="shared" si="3"/>
        <v>0.33637734926005947</v>
      </c>
    </row>
    <row r="104" spans="1:15" x14ac:dyDescent="0.2">
      <c r="A104" t="s">
        <v>34</v>
      </c>
      <c r="B104" t="s">
        <v>4</v>
      </c>
      <c r="C104" s="1">
        <v>17.309999999999999</v>
      </c>
      <c r="D104" s="1">
        <v>3.6150000000000002</v>
      </c>
      <c r="E104">
        <f t="shared" si="2"/>
        <v>3.6146579871449989</v>
      </c>
      <c r="K104" t="s">
        <v>34</v>
      </c>
      <c r="L104" t="s">
        <v>6</v>
      </c>
      <c r="M104" s="1">
        <v>0.88580000000000003</v>
      </c>
      <c r="N104" s="1">
        <v>0.3866</v>
      </c>
      <c r="O104">
        <f t="shared" si="3"/>
        <v>0.3414529740307391</v>
      </c>
    </row>
    <row r="105" spans="1:15" x14ac:dyDescent="0.2">
      <c r="A105" t="s">
        <v>34</v>
      </c>
      <c r="B105" t="s">
        <v>4</v>
      </c>
      <c r="C105" s="1">
        <v>17.420000000000002</v>
      </c>
      <c r="D105" s="1">
        <v>3.637</v>
      </c>
      <c r="E105">
        <f t="shared" si="2"/>
        <v>3.6372466476374319</v>
      </c>
      <c r="K105" t="s">
        <v>34</v>
      </c>
      <c r="L105" t="s">
        <v>6</v>
      </c>
      <c r="M105" s="1">
        <v>0.79910000000000003</v>
      </c>
      <c r="N105" s="1">
        <v>0.36449999999999999</v>
      </c>
      <c r="O105">
        <f t="shared" si="3"/>
        <v>0.32378001549186675</v>
      </c>
    </row>
    <row r="106" spans="1:15" x14ac:dyDescent="0.2">
      <c r="A106" t="s">
        <v>34</v>
      </c>
      <c r="B106" t="s">
        <v>4</v>
      </c>
      <c r="C106" s="1">
        <v>17.28</v>
      </c>
      <c r="D106" s="1">
        <v>3.6080000000000001</v>
      </c>
      <c r="E106">
        <f t="shared" si="2"/>
        <v>3.6084974433743358</v>
      </c>
      <c r="K106" t="s">
        <v>34</v>
      </c>
      <c r="L106" t="s">
        <v>6</v>
      </c>
      <c r="M106" s="1">
        <v>0.84889999999999999</v>
      </c>
      <c r="N106" s="1">
        <v>0.37719999999999998</v>
      </c>
      <c r="O106">
        <f t="shared" si="3"/>
        <v>0.33393126503322595</v>
      </c>
    </row>
    <row r="107" spans="1:15" x14ac:dyDescent="0.2">
      <c r="A107" t="s">
        <v>35</v>
      </c>
      <c r="B107" t="s">
        <v>4</v>
      </c>
      <c r="C107" s="1">
        <v>12.61</v>
      </c>
      <c r="D107" s="1">
        <v>2.649</v>
      </c>
      <c r="E107">
        <f t="shared" si="2"/>
        <v>2.6495061297410518</v>
      </c>
      <c r="K107" t="s">
        <v>35</v>
      </c>
      <c r="L107" t="s">
        <v>6</v>
      </c>
      <c r="M107" s="1">
        <v>0.76570000000000005</v>
      </c>
      <c r="N107" s="1">
        <v>0.35599999999999998</v>
      </c>
      <c r="O107">
        <f t="shared" si="3"/>
        <v>0.31697174772718012</v>
      </c>
    </row>
    <row r="108" spans="1:15" x14ac:dyDescent="0.2">
      <c r="A108" t="s">
        <v>35</v>
      </c>
      <c r="B108" t="s">
        <v>4</v>
      </c>
      <c r="C108" s="1">
        <v>12.67</v>
      </c>
      <c r="D108" s="1">
        <v>2.6619999999999999</v>
      </c>
      <c r="E108">
        <f t="shared" si="2"/>
        <v>2.6618272172823785</v>
      </c>
      <c r="K108" t="s">
        <v>35</v>
      </c>
      <c r="L108" t="s">
        <v>6</v>
      </c>
      <c r="M108" s="1">
        <v>0.4289</v>
      </c>
      <c r="N108" s="1">
        <v>0.2702</v>
      </c>
      <c r="O108">
        <f t="shared" si="3"/>
        <v>0.24831831709405192</v>
      </c>
    </row>
    <row r="109" spans="1:15" x14ac:dyDescent="0.2">
      <c r="A109" t="s">
        <v>35</v>
      </c>
      <c r="B109" t="s">
        <v>4</v>
      </c>
      <c r="C109" s="1">
        <v>12.99</v>
      </c>
      <c r="D109" s="1">
        <v>2.7280000000000002</v>
      </c>
      <c r="E109">
        <f t="shared" si="2"/>
        <v>2.7275396841694559</v>
      </c>
      <c r="K109" t="s">
        <v>35</v>
      </c>
      <c r="L109" t="s">
        <v>6</v>
      </c>
      <c r="M109" s="1">
        <v>0.55230000000000001</v>
      </c>
      <c r="N109" s="1">
        <v>0.30159999999999998</v>
      </c>
      <c r="O109">
        <f t="shared" si="3"/>
        <v>0.27347221655999021</v>
      </c>
    </row>
    <row r="110" spans="1:15" x14ac:dyDescent="0.2">
      <c r="A110" t="s">
        <v>36</v>
      </c>
      <c r="B110" t="s">
        <v>4</v>
      </c>
      <c r="C110" s="1">
        <v>13.85</v>
      </c>
      <c r="D110" s="1">
        <v>2.9039999999999999</v>
      </c>
      <c r="E110">
        <f t="shared" si="2"/>
        <v>2.9041419389284759</v>
      </c>
      <c r="K110" t="s">
        <v>36</v>
      </c>
      <c r="L110" t="s">
        <v>6</v>
      </c>
      <c r="M110" s="1">
        <v>0.60060000000000002</v>
      </c>
      <c r="N110" s="1">
        <v>0.31390000000000001</v>
      </c>
      <c r="O110">
        <f t="shared" si="3"/>
        <v>0.28331770557299518</v>
      </c>
    </row>
    <row r="111" spans="1:15" x14ac:dyDescent="0.2">
      <c r="A111" t="s">
        <v>36</v>
      </c>
      <c r="B111" t="s">
        <v>4</v>
      </c>
      <c r="C111" s="1">
        <v>13.96</v>
      </c>
      <c r="D111" s="1">
        <v>2.927</v>
      </c>
      <c r="E111">
        <f t="shared" si="2"/>
        <v>2.9267305994209094</v>
      </c>
      <c r="K111" t="s">
        <v>36</v>
      </c>
      <c r="L111" t="s">
        <v>6</v>
      </c>
      <c r="M111" s="1">
        <v>0.72540000000000004</v>
      </c>
      <c r="N111" s="1">
        <v>0.34570000000000001</v>
      </c>
      <c r="O111">
        <f t="shared" si="3"/>
        <v>0.30875698153206405</v>
      </c>
    </row>
    <row r="112" spans="1:15" x14ac:dyDescent="0.2">
      <c r="A112" t="s">
        <v>36</v>
      </c>
      <c r="B112" t="s">
        <v>4</v>
      </c>
      <c r="C112" s="1">
        <v>14.37</v>
      </c>
      <c r="D112" s="1">
        <v>3.0110000000000001</v>
      </c>
      <c r="E112">
        <f t="shared" si="2"/>
        <v>3.0109246976199762</v>
      </c>
      <c r="K112" t="s">
        <v>36</v>
      </c>
      <c r="L112" t="s">
        <v>6</v>
      </c>
      <c r="M112" s="1">
        <v>0.71689999999999998</v>
      </c>
      <c r="N112" s="1">
        <v>0.34360000000000002</v>
      </c>
      <c r="O112">
        <f t="shared" si="3"/>
        <v>0.307024338538057</v>
      </c>
    </row>
    <row r="113" spans="1:15" x14ac:dyDescent="0.2">
      <c r="A113" t="s">
        <v>37</v>
      </c>
      <c r="B113" t="s">
        <v>4</v>
      </c>
      <c r="C113" s="1">
        <v>13.37</v>
      </c>
      <c r="D113" s="1">
        <v>2.806</v>
      </c>
      <c r="E113">
        <f t="shared" si="2"/>
        <v>2.80557323859786</v>
      </c>
      <c r="K113" t="s">
        <v>37</v>
      </c>
      <c r="L113" t="s">
        <v>6</v>
      </c>
      <c r="M113" s="1">
        <v>0</v>
      </c>
      <c r="N113" s="1">
        <v>0.16089999999999999</v>
      </c>
      <c r="O113">
        <f t="shared" si="3"/>
        <v>0.16089119001997634</v>
      </c>
    </row>
    <row r="114" spans="1:15" x14ac:dyDescent="0.2">
      <c r="A114" t="s">
        <v>37</v>
      </c>
      <c r="B114" t="s">
        <v>4</v>
      </c>
      <c r="C114" s="1">
        <v>13.64</v>
      </c>
      <c r="D114" s="1">
        <v>2.8610000000000002</v>
      </c>
      <c r="E114">
        <f t="shared" si="2"/>
        <v>2.861018132533832</v>
      </c>
      <c r="K114" t="s">
        <v>37</v>
      </c>
      <c r="L114" t="s">
        <v>6</v>
      </c>
      <c r="M114" s="1">
        <v>0</v>
      </c>
      <c r="N114" s="1">
        <v>0.16089999999999999</v>
      </c>
      <c r="O114">
        <f t="shared" si="3"/>
        <v>0.16089119001997634</v>
      </c>
    </row>
    <row r="115" spans="1:15" x14ac:dyDescent="0.2">
      <c r="A115" t="s">
        <v>37</v>
      </c>
      <c r="B115" t="s">
        <v>4</v>
      </c>
      <c r="C115" s="1">
        <v>13.7</v>
      </c>
      <c r="D115" s="1">
        <v>2.8730000000000002</v>
      </c>
      <c r="E115">
        <f t="shared" si="2"/>
        <v>2.8733392200751586</v>
      </c>
      <c r="K115" t="s">
        <v>37</v>
      </c>
      <c r="L115" t="s">
        <v>6</v>
      </c>
      <c r="M115" s="1">
        <v>0</v>
      </c>
      <c r="N115" s="1">
        <v>0.16089999999999999</v>
      </c>
      <c r="O115">
        <f t="shared" si="3"/>
        <v>0.16089119001997634</v>
      </c>
    </row>
    <row r="116" spans="1:15" x14ac:dyDescent="0.2">
      <c r="A116" t="s">
        <v>38</v>
      </c>
      <c r="B116" t="s">
        <v>4</v>
      </c>
      <c r="C116" s="1">
        <v>20.57</v>
      </c>
      <c r="D116" s="1">
        <v>4.2839999999999998</v>
      </c>
      <c r="E116">
        <f t="shared" si="2"/>
        <v>4.2841037435570986</v>
      </c>
      <c r="K116" t="s">
        <v>38</v>
      </c>
      <c r="L116" t="s">
        <v>6</v>
      </c>
      <c r="M116" s="1">
        <v>11.95</v>
      </c>
      <c r="N116" s="1">
        <v>3.206</v>
      </c>
      <c r="O116">
        <f t="shared" si="3"/>
        <v>2.5967833992417138</v>
      </c>
    </row>
    <row r="117" spans="1:15" x14ac:dyDescent="0.2">
      <c r="A117" t="s">
        <v>38</v>
      </c>
      <c r="B117" t="s">
        <v>4</v>
      </c>
      <c r="C117" s="1">
        <v>20.69</v>
      </c>
      <c r="D117" s="1">
        <v>4.3090000000000002</v>
      </c>
      <c r="E117">
        <f t="shared" si="2"/>
        <v>4.3087459186397528</v>
      </c>
      <c r="K117" t="s">
        <v>38</v>
      </c>
      <c r="L117" t="s">
        <v>6</v>
      </c>
      <c r="M117" s="1">
        <v>12.04</v>
      </c>
      <c r="N117" s="1">
        <v>3.2290000000000001</v>
      </c>
      <c r="O117">
        <f t="shared" si="3"/>
        <v>2.6151290309429656</v>
      </c>
    </row>
    <row r="118" spans="1:15" x14ac:dyDescent="0.2">
      <c r="A118" t="s">
        <v>38</v>
      </c>
      <c r="B118" t="s">
        <v>4</v>
      </c>
      <c r="C118" s="1">
        <v>21.28</v>
      </c>
      <c r="D118" s="1">
        <v>4.43</v>
      </c>
      <c r="E118">
        <f t="shared" si="2"/>
        <v>4.4299032794628008</v>
      </c>
      <c r="K118" t="s">
        <v>38</v>
      </c>
      <c r="L118" t="s">
        <v>6</v>
      </c>
      <c r="M118" s="1">
        <v>12.31</v>
      </c>
      <c r="N118" s="1">
        <v>3.2970000000000002</v>
      </c>
      <c r="O118">
        <f t="shared" si="3"/>
        <v>2.6701659260467205</v>
      </c>
    </row>
    <row r="119" spans="1:15" x14ac:dyDescent="0.2">
      <c r="A119" t="s">
        <v>39</v>
      </c>
      <c r="B119" t="s">
        <v>4</v>
      </c>
      <c r="C119" s="1">
        <v>21.81</v>
      </c>
      <c r="D119" s="1">
        <v>4.5389999999999997</v>
      </c>
      <c r="E119">
        <f t="shared" si="2"/>
        <v>4.5387395527445227</v>
      </c>
      <c r="K119" t="s">
        <v>39</v>
      </c>
      <c r="L119" t="s">
        <v>6</v>
      </c>
      <c r="M119" s="1">
        <v>13.41</v>
      </c>
      <c r="N119" s="1">
        <v>3.5779999999999998</v>
      </c>
      <c r="O119">
        <f t="shared" si="3"/>
        <v>2.8943903135064617</v>
      </c>
    </row>
    <row r="120" spans="1:15" x14ac:dyDescent="0.2">
      <c r="A120" t="s">
        <v>39</v>
      </c>
      <c r="B120" t="s">
        <v>4</v>
      </c>
      <c r="C120" s="1">
        <v>23.24</v>
      </c>
      <c r="D120" s="1">
        <v>4.8319999999999999</v>
      </c>
      <c r="E120">
        <f t="shared" si="2"/>
        <v>4.8323921391461484</v>
      </c>
      <c r="K120" t="s">
        <v>39</v>
      </c>
      <c r="L120" t="s">
        <v>6</v>
      </c>
      <c r="M120" s="1">
        <v>12.83</v>
      </c>
      <c r="N120" s="1">
        <v>3.43</v>
      </c>
      <c r="O120">
        <f t="shared" si="3"/>
        <v>2.776162909209507</v>
      </c>
    </row>
    <row r="121" spans="1:15" x14ac:dyDescent="0.2">
      <c r="A121" t="s">
        <v>39</v>
      </c>
      <c r="B121" t="s">
        <v>4</v>
      </c>
      <c r="C121" s="1">
        <v>21.69</v>
      </c>
      <c r="D121" s="1">
        <v>4.5140000000000002</v>
      </c>
      <c r="E121">
        <f t="shared" si="2"/>
        <v>4.5140973776618685</v>
      </c>
      <c r="K121" t="s">
        <v>39</v>
      </c>
      <c r="L121" t="s">
        <v>6</v>
      </c>
      <c r="M121" s="1">
        <v>13.11</v>
      </c>
      <c r="N121" s="1">
        <v>3.5009999999999999</v>
      </c>
      <c r="O121">
        <f t="shared" si="3"/>
        <v>2.8332382078356231</v>
      </c>
    </row>
    <row r="122" spans="1:15" x14ac:dyDescent="0.2">
      <c r="A122" t="s">
        <v>40</v>
      </c>
      <c r="B122" t="s">
        <v>4</v>
      </c>
      <c r="C122" s="1">
        <v>23.66</v>
      </c>
      <c r="D122" s="1">
        <v>4.9189999999999996</v>
      </c>
      <c r="E122">
        <f t="shared" si="2"/>
        <v>4.9186397519354381</v>
      </c>
      <c r="K122" t="s">
        <v>40</v>
      </c>
      <c r="L122" t="s">
        <v>6</v>
      </c>
      <c r="M122" s="1">
        <v>12.62</v>
      </c>
      <c r="N122" s="1">
        <v>3.3759999999999999</v>
      </c>
      <c r="O122">
        <f t="shared" si="3"/>
        <v>2.7333564352399202</v>
      </c>
    </row>
    <row r="123" spans="1:15" x14ac:dyDescent="0.2">
      <c r="A123" t="s">
        <v>40</v>
      </c>
      <c r="B123" t="s">
        <v>4</v>
      </c>
      <c r="C123" s="1">
        <v>24.52</v>
      </c>
      <c r="D123" s="1">
        <v>5.0949999999999998</v>
      </c>
      <c r="E123">
        <f t="shared" si="2"/>
        <v>5.0952420066944581</v>
      </c>
      <c r="K123" t="s">
        <v>40</v>
      </c>
      <c r="L123" t="s">
        <v>6</v>
      </c>
      <c r="M123" s="1">
        <v>13</v>
      </c>
      <c r="N123" s="1">
        <v>3.4729999999999999</v>
      </c>
      <c r="O123">
        <f t="shared" si="3"/>
        <v>2.8108157690896491</v>
      </c>
    </row>
    <row r="124" spans="1:15" x14ac:dyDescent="0.2">
      <c r="A124" t="s">
        <v>40</v>
      </c>
      <c r="B124" t="s">
        <v>4</v>
      </c>
      <c r="C124" s="1">
        <v>24.11</v>
      </c>
      <c r="D124" s="1">
        <v>5.0110000000000001</v>
      </c>
      <c r="E124">
        <f t="shared" si="2"/>
        <v>5.0110479084953896</v>
      </c>
      <c r="K124" t="s">
        <v>40</v>
      </c>
      <c r="L124" t="s">
        <v>6</v>
      </c>
      <c r="M124" s="1">
        <v>13.13</v>
      </c>
      <c r="N124" s="1">
        <v>3.5059999999999998</v>
      </c>
      <c r="O124">
        <f t="shared" si="3"/>
        <v>2.8373150148803461</v>
      </c>
    </row>
    <row r="125" spans="1:15" x14ac:dyDescent="0.2">
      <c r="A125" t="s">
        <v>41</v>
      </c>
      <c r="B125" t="s">
        <v>4</v>
      </c>
      <c r="C125" s="1">
        <v>512.6</v>
      </c>
      <c r="D125" s="1">
        <v>105.3</v>
      </c>
      <c r="E125">
        <f t="shared" si="2"/>
        <v>105.32318212620901</v>
      </c>
      <c r="K125" t="s">
        <v>41</v>
      </c>
      <c r="L125" t="s">
        <v>6</v>
      </c>
      <c r="M125" s="1">
        <v>78.489999999999995</v>
      </c>
      <c r="N125" s="1">
        <v>20.16</v>
      </c>
      <c r="O125">
        <f t="shared" si="3"/>
        <v>16.160320437033715</v>
      </c>
    </row>
    <row r="126" spans="1:15" x14ac:dyDescent="0.2">
      <c r="A126" t="s">
        <v>41</v>
      </c>
      <c r="B126" t="s">
        <v>4</v>
      </c>
      <c r="C126" s="1">
        <v>520.1</v>
      </c>
      <c r="D126" s="1">
        <v>106.9</v>
      </c>
      <c r="E126">
        <f t="shared" si="2"/>
        <v>106.86331806887488</v>
      </c>
      <c r="K126" t="s">
        <v>41</v>
      </c>
      <c r="L126" t="s">
        <v>6</v>
      </c>
      <c r="M126" s="1">
        <v>78.16</v>
      </c>
      <c r="N126" s="1">
        <v>20.079999999999998</v>
      </c>
      <c r="O126">
        <f t="shared" si="3"/>
        <v>16.093053120795791</v>
      </c>
    </row>
    <row r="127" spans="1:15" x14ac:dyDescent="0.2">
      <c r="A127" t="s">
        <v>41</v>
      </c>
      <c r="B127" t="s">
        <v>4</v>
      </c>
      <c r="C127" s="1">
        <v>519.70000000000005</v>
      </c>
      <c r="D127" s="1">
        <v>106.8</v>
      </c>
      <c r="E127">
        <f t="shared" si="2"/>
        <v>106.78117748526603</v>
      </c>
      <c r="K127" t="s">
        <v>41</v>
      </c>
      <c r="L127" t="s">
        <v>6</v>
      </c>
      <c r="M127" s="1">
        <v>79.209999999999994</v>
      </c>
      <c r="N127" s="1">
        <v>20.34</v>
      </c>
      <c r="O127">
        <f t="shared" si="3"/>
        <v>16.307085490643725</v>
      </c>
    </row>
    <row r="128" spans="1:15" x14ac:dyDescent="0.2">
      <c r="A128" t="s">
        <v>42</v>
      </c>
      <c r="B128" t="s">
        <v>4</v>
      </c>
      <c r="C128" s="1">
        <v>492.6</v>
      </c>
      <c r="D128" s="1">
        <v>101.2</v>
      </c>
      <c r="E128">
        <f t="shared" si="2"/>
        <v>101.21615294576669</v>
      </c>
      <c r="K128" t="s">
        <v>42</v>
      </c>
      <c r="L128" t="s">
        <v>6</v>
      </c>
      <c r="M128" s="1">
        <v>75.959999999999994</v>
      </c>
      <c r="N128" s="1">
        <v>19.52</v>
      </c>
      <c r="O128">
        <f t="shared" si="3"/>
        <v>15.644604345876306</v>
      </c>
    </row>
    <row r="129" spans="1:15" x14ac:dyDescent="0.2">
      <c r="A129" t="s">
        <v>42</v>
      </c>
      <c r="B129" t="s">
        <v>4</v>
      </c>
      <c r="C129" s="1">
        <v>484.8</v>
      </c>
      <c r="D129" s="1">
        <v>99.61</v>
      </c>
      <c r="E129">
        <f t="shared" si="2"/>
        <v>99.614411565394178</v>
      </c>
      <c r="K129" t="s">
        <v>42</v>
      </c>
      <c r="L129" t="s">
        <v>6</v>
      </c>
      <c r="M129" s="1">
        <v>76.55</v>
      </c>
      <c r="N129" s="1">
        <v>19.670000000000002</v>
      </c>
      <c r="O129">
        <f t="shared" si="3"/>
        <v>15.764870153695624</v>
      </c>
    </row>
    <row r="130" spans="1:15" x14ac:dyDescent="0.2">
      <c r="A130" t="s">
        <v>42</v>
      </c>
      <c r="B130" t="s">
        <v>4</v>
      </c>
      <c r="C130" s="1">
        <v>504.2</v>
      </c>
      <c r="D130" s="1">
        <v>103.6</v>
      </c>
      <c r="E130">
        <f t="shared" si="2"/>
        <v>103.59822987042322</v>
      </c>
      <c r="K130" t="s">
        <v>42</v>
      </c>
      <c r="L130" t="s">
        <v>6</v>
      </c>
      <c r="M130" s="1">
        <v>77.430000000000007</v>
      </c>
      <c r="N130" s="1">
        <v>19.89</v>
      </c>
      <c r="O130">
        <f t="shared" si="3"/>
        <v>15.944249663663419</v>
      </c>
    </row>
    <row r="131" spans="1:15" x14ac:dyDescent="0.2">
      <c r="A131" t="s">
        <v>43</v>
      </c>
      <c r="B131" t="s">
        <v>4</v>
      </c>
      <c r="C131" s="1">
        <v>521.29999999999995</v>
      </c>
      <c r="D131" s="1">
        <v>107.1</v>
      </c>
      <c r="E131">
        <f t="shared" si="2"/>
        <v>107.1097398197014</v>
      </c>
      <c r="K131" t="s">
        <v>43</v>
      </c>
      <c r="L131" t="s">
        <v>6</v>
      </c>
      <c r="M131" s="1">
        <v>79.06</v>
      </c>
      <c r="N131" s="1">
        <v>20.309999999999999</v>
      </c>
      <c r="O131">
        <f t="shared" si="3"/>
        <v>16.276509437808308</v>
      </c>
    </row>
    <row r="132" spans="1:15" x14ac:dyDescent="0.2">
      <c r="A132" t="s">
        <v>43</v>
      </c>
      <c r="B132" t="s">
        <v>4</v>
      </c>
      <c r="C132" s="1">
        <v>529.6</v>
      </c>
      <c r="D132" s="1">
        <v>108.8</v>
      </c>
      <c r="E132">
        <f t="shared" si="2"/>
        <v>108.81415692958498</v>
      </c>
      <c r="K132" t="s">
        <v>43</v>
      </c>
      <c r="L132" t="s">
        <v>6</v>
      </c>
      <c r="M132" s="1">
        <v>81.27</v>
      </c>
      <c r="N132" s="1">
        <v>20.87</v>
      </c>
      <c r="O132">
        <f t="shared" si="3"/>
        <v>16.726996616250151</v>
      </c>
    </row>
    <row r="133" spans="1:15" x14ac:dyDescent="0.2">
      <c r="A133" t="s">
        <v>43</v>
      </c>
      <c r="B133" t="s">
        <v>4</v>
      </c>
      <c r="C133" s="1">
        <v>524.9</v>
      </c>
      <c r="D133" s="1">
        <v>107.8</v>
      </c>
      <c r="E133">
        <f t="shared" si="2"/>
        <v>107.84900507218103</v>
      </c>
      <c r="K133" t="s">
        <v>43</v>
      </c>
      <c r="L133" t="s">
        <v>6</v>
      </c>
      <c r="M133" s="1">
        <v>79.61</v>
      </c>
      <c r="N133" s="1">
        <v>20.45</v>
      </c>
      <c r="O133">
        <f t="shared" si="3"/>
        <v>16.388621631538179</v>
      </c>
    </row>
    <row r="134" spans="1:15" x14ac:dyDescent="0.2">
      <c r="A134" t="s">
        <v>8</v>
      </c>
      <c r="B134" t="s">
        <v>4</v>
      </c>
      <c r="C134" s="1">
        <v>0.66400000000000003</v>
      </c>
      <c r="D134" s="1">
        <v>0.19639999999999999</v>
      </c>
      <c r="E134">
        <f t="shared" si="2"/>
        <v>0.19637760026284987</v>
      </c>
      <c r="K134" t="s">
        <v>8</v>
      </c>
      <c r="L134" t="s">
        <v>6</v>
      </c>
      <c r="M134" s="1">
        <v>0</v>
      </c>
      <c r="N134" s="1">
        <v>0.16089999999999999</v>
      </c>
      <c r="O134">
        <f t="shared" si="3"/>
        <v>0.16089119001997634</v>
      </c>
    </row>
    <row r="135" spans="1:15" x14ac:dyDescent="0.2">
      <c r="A135" t="s">
        <v>8</v>
      </c>
      <c r="B135" t="s">
        <v>4</v>
      </c>
      <c r="C135" s="1">
        <v>0.5958</v>
      </c>
      <c r="D135" s="1">
        <v>0.18240000000000001</v>
      </c>
      <c r="E135">
        <f t="shared" si="2"/>
        <v>0.18237263075754154</v>
      </c>
      <c r="K135" t="s">
        <v>8</v>
      </c>
      <c r="L135" t="s">
        <v>6</v>
      </c>
      <c r="M135" s="1">
        <v>0</v>
      </c>
      <c r="N135" s="1">
        <v>0.16089999999999999</v>
      </c>
      <c r="O135">
        <f t="shared" si="3"/>
        <v>0.16089119001997634</v>
      </c>
    </row>
    <row r="136" spans="1:15" x14ac:dyDescent="0.2">
      <c r="A136" t="s">
        <v>8</v>
      </c>
      <c r="B136" t="s">
        <v>4</v>
      </c>
      <c r="C136" s="1">
        <v>0.74750000000000005</v>
      </c>
      <c r="D136" s="1">
        <v>0.2135</v>
      </c>
      <c r="E136">
        <f t="shared" si="2"/>
        <v>0.21352444709119661</v>
      </c>
      <c r="K136" t="s">
        <v>8</v>
      </c>
      <c r="L136" t="s">
        <v>6</v>
      </c>
      <c r="M136" s="1">
        <v>0</v>
      </c>
      <c r="N136" s="1">
        <v>0.16089999999999999</v>
      </c>
      <c r="O136">
        <f t="shared" si="3"/>
        <v>0.16089119001997634</v>
      </c>
    </row>
    <row r="137" spans="1:15" x14ac:dyDescent="0.2">
      <c r="A137" t="s">
        <v>9</v>
      </c>
      <c r="B137" t="s">
        <v>4</v>
      </c>
      <c r="C137" s="1">
        <v>115.3</v>
      </c>
      <c r="D137" s="1">
        <v>33.46</v>
      </c>
      <c r="E137">
        <f t="shared" si="2"/>
        <v>23.737047456722181</v>
      </c>
      <c r="K137" t="s">
        <v>9</v>
      </c>
      <c r="L137" t="s">
        <v>6</v>
      </c>
      <c r="M137" s="1">
        <v>99.22</v>
      </c>
      <c r="N137" s="1">
        <v>25.44</v>
      </c>
      <c r="O137">
        <f t="shared" si="3"/>
        <v>20.385930938888659</v>
      </c>
    </row>
    <row r="138" spans="1:15" x14ac:dyDescent="0.2">
      <c r="A138" t="s">
        <v>9</v>
      </c>
      <c r="B138" t="s">
        <v>4</v>
      </c>
      <c r="C138" s="1">
        <v>114.4</v>
      </c>
      <c r="D138" s="1">
        <v>34.25</v>
      </c>
      <c r="E138">
        <f t="shared" si="2"/>
        <v>23.552231143602278</v>
      </c>
      <c r="K138" t="s">
        <v>9</v>
      </c>
      <c r="L138" t="s">
        <v>6</v>
      </c>
      <c r="M138" s="1">
        <v>98.59</v>
      </c>
      <c r="N138" s="1">
        <v>25.28</v>
      </c>
      <c r="O138">
        <f t="shared" si="3"/>
        <v>20.2575115169799</v>
      </c>
    </row>
    <row r="139" spans="1:15" x14ac:dyDescent="0.2">
      <c r="A139" t="s">
        <v>9</v>
      </c>
      <c r="B139" t="s">
        <v>4</v>
      </c>
      <c r="C139" s="1">
        <v>115.2</v>
      </c>
      <c r="D139" s="1">
        <v>33.549999999999997</v>
      </c>
      <c r="E139">
        <f t="shared" si="2"/>
        <v>23.716512310819969</v>
      </c>
      <c r="K139" t="s">
        <v>9</v>
      </c>
      <c r="L139" t="s">
        <v>6</v>
      </c>
      <c r="M139" s="1">
        <v>98.22</v>
      </c>
      <c r="N139" s="1">
        <v>25.19</v>
      </c>
      <c r="O139">
        <f t="shared" si="3"/>
        <v>20.182090586652532</v>
      </c>
    </row>
    <row r="140" spans="1:15" x14ac:dyDescent="0.2">
      <c r="A140" t="s">
        <v>44</v>
      </c>
      <c r="B140" t="s">
        <v>4</v>
      </c>
      <c r="C140" s="1">
        <v>120.8</v>
      </c>
      <c r="D140" s="1">
        <v>24.87</v>
      </c>
      <c r="E140">
        <f t="shared" si="2"/>
        <v>24.866480481343821</v>
      </c>
      <c r="K140" t="s">
        <v>44</v>
      </c>
      <c r="L140" t="s">
        <v>6</v>
      </c>
      <c r="M140" s="1">
        <v>15.9</v>
      </c>
      <c r="N140" s="1">
        <v>4.2119999999999997</v>
      </c>
      <c r="O140">
        <f t="shared" si="3"/>
        <v>3.401952790574422</v>
      </c>
    </row>
    <row r="141" spans="1:15" x14ac:dyDescent="0.2">
      <c r="A141" t="s">
        <v>44</v>
      </c>
      <c r="B141" t="s">
        <v>4</v>
      </c>
      <c r="C141" s="1">
        <v>124.8</v>
      </c>
      <c r="D141" s="1">
        <v>25.69</v>
      </c>
      <c r="E141">
        <f t="shared" si="2"/>
        <v>25.687886317432284</v>
      </c>
      <c r="K141" t="s">
        <v>44</v>
      </c>
      <c r="L141" t="s">
        <v>6</v>
      </c>
      <c r="M141" s="1">
        <v>16.18</v>
      </c>
      <c r="N141" s="1">
        <v>4.2839999999999998</v>
      </c>
      <c r="O141">
        <f t="shared" si="3"/>
        <v>3.4590280892005381</v>
      </c>
    </row>
    <row r="142" spans="1:15" x14ac:dyDescent="0.2">
      <c r="A142" t="s">
        <v>44</v>
      </c>
      <c r="B142" t="s">
        <v>4</v>
      </c>
      <c r="C142" s="1">
        <v>122.8</v>
      </c>
      <c r="D142" s="1">
        <v>25.28</v>
      </c>
      <c r="E142">
        <f t="shared" si="2"/>
        <v>25.277183399388051</v>
      </c>
      <c r="K142" t="s">
        <v>44</v>
      </c>
      <c r="L142" t="s">
        <v>6</v>
      </c>
      <c r="M142" s="1">
        <v>15.86</v>
      </c>
      <c r="N142" s="1">
        <v>4.202</v>
      </c>
      <c r="O142">
        <f t="shared" si="3"/>
        <v>3.3937991764849769</v>
      </c>
    </row>
    <row r="143" spans="1:15" x14ac:dyDescent="0.2">
      <c r="A143" t="s">
        <v>45</v>
      </c>
      <c r="B143" t="s">
        <v>4</v>
      </c>
      <c r="C143" s="1">
        <v>133.19999999999999</v>
      </c>
      <c r="D143" s="1">
        <v>27.41</v>
      </c>
      <c r="E143">
        <f t="shared" si="2"/>
        <v>27.412838573218064</v>
      </c>
      <c r="K143" t="s">
        <v>45</v>
      </c>
      <c r="L143" t="s">
        <v>6</v>
      </c>
      <c r="M143" s="1">
        <v>18.260000000000002</v>
      </c>
      <c r="N143" s="1">
        <v>4.8140000000000001</v>
      </c>
      <c r="O143">
        <f t="shared" si="3"/>
        <v>3.8830160218516863</v>
      </c>
    </row>
    <row r="144" spans="1:15" x14ac:dyDescent="0.2">
      <c r="A144" t="s">
        <v>45</v>
      </c>
      <c r="B144" t="s">
        <v>4</v>
      </c>
      <c r="C144" s="1">
        <v>135.80000000000001</v>
      </c>
      <c r="D144" s="1">
        <v>27.95</v>
      </c>
      <c r="E144">
        <f t="shared" si="2"/>
        <v>27.946752366675572</v>
      </c>
      <c r="K144" t="s">
        <v>45</v>
      </c>
      <c r="L144" t="s">
        <v>6</v>
      </c>
      <c r="M144" s="1">
        <v>17.87</v>
      </c>
      <c r="N144" s="1">
        <v>4.7140000000000004</v>
      </c>
      <c r="O144">
        <f t="shared" si="3"/>
        <v>3.8035182844795958</v>
      </c>
    </row>
    <row r="145" spans="1:15" x14ac:dyDescent="0.2">
      <c r="A145" t="s">
        <v>45</v>
      </c>
      <c r="B145" t="s">
        <v>4</v>
      </c>
      <c r="C145" s="1">
        <v>136.30000000000001</v>
      </c>
      <c r="D145" s="1">
        <v>28.05</v>
      </c>
      <c r="E145">
        <f t="shared" si="2"/>
        <v>28.049428096186627</v>
      </c>
      <c r="K145" t="s">
        <v>45</v>
      </c>
      <c r="L145" t="s">
        <v>6</v>
      </c>
      <c r="M145" s="1">
        <v>17.78</v>
      </c>
      <c r="N145" s="1">
        <v>4.6909999999999998</v>
      </c>
      <c r="O145">
        <f t="shared" si="3"/>
        <v>3.7851726527783445</v>
      </c>
    </row>
    <row r="146" spans="1:15" x14ac:dyDescent="0.2">
      <c r="A146" t="s">
        <v>46</v>
      </c>
      <c r="B146" t="s">
        <v>4</v>
      </c>
      <c r="C146" s="1">
        <v>139</v>
      </c>
      <c r="D146" s="1">
        <v>28.6</v>
      </c>
      <c r="E146">
        <f t="shared" si="2"/>
        <v>28.60387703554634</v>
      </c>
      <c r="K146" t="s">
        <v>46</v>
      </c>
      <c r="L146" t="s">
        <v>6</v>
      </c>
      <c r="M146" s="1">
        <v>18.7</v>
      </c>
      <c r="N146" s="1">
        <v>4.9260000000000002</v>
      </c>
      <c r="O146">
        <f t="shared" si="3"/>
        <v>3.9727057768355825</v>
      </c>
    </row>
    <row r="147" spans="1:15" x14ac:dyDescent="0.2">
      <c r="A147" t="s">
        <v>46</v>
      </c>
      <c r="B147" t="s">
        <v>4</v>
      </c>
      <c r="C147" s="1">
        <v>140.5</v>
      </c>
      <c r="D147" s="1">
        <v>28.91</v>
      </c>
      <c r="E147">
        <f t="shared" si="2"/>
        <v>28.911904224079514</v>
      </c>
      <c r="K147" t="s">
        <v>46</v>
      </c>
      <c r="L147" t="s">
        <v>6</v>
      </c>
      <c r="M147" s="1">
        <v>18.28</v>
      </c>
      <c r="N147" s="1">
        <v>4.819</v>
      </c>
      <c r="O147">
        <f t="shared" si="3"/>
        <v>3.8870928288964084</v>
      </c>
    </row>
    <row r="148" spans="1:15" x14ac:dyDescent="0.2">
      <c r="A148" t="s">
        <v>46</v>
      </c>
      <c r="B148" t="s">
        <v>4</v>
      </c>
      <c r="C148" s="1">
        <v>137.5</v>
      </c>
      <c r="D148" s="1">
        <v>28.3</v>
      </c>
      <c r="E148">
        <f t="shared" si="2"/>
        <v>28.295849847013166</v>
      </c>
      <c r="K148" t="s">
        <v>46</v>
      </c>
      <c r="L148" t="s">
        <v>6</v>
      </c>
      <c r="M148" s="1">
        <v>18.350000000000001</v>
      </c>
      <c r="N148" s="1">
        <v>4.8360000000000003</v>
      </c>
      <c r="O148">
        <f t="shared" si="3"/>
        <v>3.9013616535529376</v>
      </c>
    </row>
    <row r="149" spans="1:15" x14ac:dyDescent="0.2">
      <c r="A149" t="s">
        <v>47</v>
      </c>
      <c r="B149" t="s">
        <v>4</v>
      </c>
      <c r="C149" s="1">
        <v>836.3</v>
      </c>
      <c r="D149" s="1">
        <v>171.8</v>
      </c>
      <c r="E149">
        <f t="shared" si="2"/>
        <v>171.79544941166805</v>
      </c>
      <c r="K149" t="s">
        <v>47</v>
      </c>
      <c r="L149" t="s">
        <v>6</v>
      </c>
      <c r="M149" s="1">
        <v>94.99</v>
      </c>
      <c r="N149" s="1">
        <v>24.36</v>
      </c>
      <c r="O149">
        <f t="shared" si="3"/>
        <v>19.523686248929835</v>
      </c>
    </row>
    <row r="150" spans="1:15" x14ac:dyDescent="0.2">
      <c r="A150" t="s">
        <v>47</v>
      </c>
      <c r="B150" t="s">
        <v>4</v>
      </c>
      <c r="C150" s="1">
        <v>868.3</v>
      </c>
      <c r="D150" s="1">
        <v>178.4</v>
      </c>
      <c r="E150">
        <f t="shared" si="2"/>
        <v>178.36669610037578</v>
      </c>
      <c r="K150" t="s">
        <v>47</v>
      </c>
      <c r="L150" t="s">
        <v>6</v>
      </c>
      <c r="M150" s="1">
        <v>98.06</v>
      </c>
      <c r="N150" s="1">
        <v>25.15</v>
      </c>
      <c r="O150">
        <f t="shared" si="3"/>
        <v>20.149476130294751</v>
      </c>
    </row>
    <row r="151" spans="1:15" x14ac:dyDescent="0.2">
      <c r="A151" t="s">
        <v>47</v>
      </c>
      <c r="B151" t="s">
        <v>4</v>
      </c>
      <c r="C151" s="1">
        <v>851</v>
      </c>
      <c r="D151" s="1">
        <v>174.8</v>
      </c>
      <c r="E151">
        <f t="shared" si="2"/>
        <v>174.81411585929317</v>
      </c>
      <c r="K151" t="s">
        <v>47</v>
      </c>
      <c r="L151" t="s">
        <v>6</v>
      </c>
      <c r="M151" s="1">
        <v>96.69</v>
      </c>
      <c r="N151" s="1">
        <v>24.8</v>
      </c>
      <c r="O151">
        <f t="shared" si="3"/>
        <v>19.870214847731255</v>
      </c>
    </row>
    <row r="152" spans="1:15" x14ac:dyDescent="0.2">
      <c r="A152" t="s">
        <v>48</v>
      </c>
      <c r="B152" t="s">
        <v>4</v>
      </c>
      <c r="C152" s="1">
        <v>903.4</v>
      </c>
      <c r="D152" s="1">
        <v>185.6</v>
      </c>
      <c r="E152">
        <f t="shared" ref="E152:E215" si="4">(C152+0.2923)/4.8697</f>
        <v>185.57453231205207</v>
      </c>
      <c r="K152" t="s">
        <v>48</v>
      </c>
      <c r="L152" t="s">
        <v>6</v>
      </c>
      <c r="M152" s="1">
        <v>100.2</v>
      </c>
      <c r="N152" s="1">
        <v>25.69</v>
      </c>
      <c r="O152">
        <f t="shared" ref="O152:O215" si="5">(M152+0.7893)/4.9058</f>
        <v>20.585694484080069</v>
      </c>
    </row>
    <row r="153" spans="1:15" x14ac:dyDescent="0.2">
      <c r="A153" t="s">
        <v>48</v>
      </c>
      <c r="B153" t="s">
        <v>4</v>
      </c>
      <c r="C153" s="1">
        <v>935.9</v>
      </c>
      <c r="D153" s="1">
        <v>192.2</v>
      </c>
      <c r="E153">
        <f t="shared" si="4"/>
        <v>192.24845473027085</v>
      </c>
      <c r="K153" t="s">
        <v>48</v>
      </c>
      <c r="L153" t="s">
        <v>6</v>
      </c>
      <c r="M153" s="1">
        <v>103.6</v>
      </c>
      <c r="N153" s="1">
        <v>26.56</v>
      </c>
      <c r="O153">
        <f t="shared" si="5"/>
        <v>21.278751681682902</v>
      </c>
    </row>
    <row r="154" spans="1:15" x14ac:dyDescent="0.2">
      <c r="A154" t="s">
        <v>48</v>
      </c>
      <c r="B154" t="s">
        <v>4</v>
      </c>
      <c r="C154" s="1">
        <v>916</v>
      </c>
      <c r="D154" s="1">
        <v>188.2</v>
      </c>
      <c r="E154">
        <f t="shared" si="4"/>
        <v>188.16196069573073</v>
      </c>
      <c r="K154" t="s">
        <v>48</v>
      </c>
      <c r="L154" t="s">
        <v>6</v>
      </c>
      <c r="M154" s="1">
        <v>102.5</v>
      </c>
      <c r="N154" s="1">
        <v>26.28</v>
      </c>
      <c r="O154">
        <f t="shared" si="5"/>
        <v>21.054527294223163</v>
      </c>
    </row>
    <row r="155" spans="1:15" x14ac:dyDescent="0.2">
      <c r="A155" t="s">
        <v>49</v>
      </c>
      <c r="B155" t="s">
        <v>4</v>
      </c>
      <c r="C155" s="1">
        <v>916.2</v>
      </c>
      <c r="D155" s="1">
        <v>188.2</v>
      </c>
      <c r="E155">
        <f t="shared" si="4"/>
        <v>188.20303098753516</v>
      </c>
      <c r="K155" t="s">
        <v>49</v>
      </c>
      <c r="L155" t="s">
        <v>6</v>
      </c>
      <c r="M155" s="1">
        <v>101.2</v>
      </c>
      <c r="N155" s="1">
        <v>25.95</v>
      </c>
      <c r="O155">
        <f t="shared" si="5"/>
        <v>20.789534836316196</v>
      </c>
    </row>
    <row r="156" spans="1:15" x14ac:dyDescent="0.2">
      <c r="A156" t="s">
        <v>49</v>
      </c>
      <c r="B156" t="s">
        <v>4</v>
      </c>
      <c r="C156" s="1">
        <v>921.1</v>
      </c>
      <c r="D156" s="1">
        <v>189.2</v>
      </c>
      <c r="E156">
        <f t="shared" si="4"/>
        <v>189.20925313674354</v>
      </c>
      <c r="K156" t="s">
        <v>49</v>
      </c>
      <c r="L156" t="s">
        <v>6</v>
      </c>
      <c r="M156" s="1">
        <v>100.7</v>
      </c>
      <c r="N156" s="1">
        <v>25.82</v>
      </c>
      <c r="O156">
        <f t="shared" si="5"/>
        <v>20.687614660198133</v>
      </c>
    </row>
    <row r="157" spans="1:15" x14ac:dyDescent="0.2">
      <c r="A157" t="s">
        <v>49</v>
      </c>
      <c r="B157" t="s">
        <v>4</v>
      </c>
      <c r="C157" s="1">
        <v>935.8</v>
      </c>
      <c r="D157" s="1">
        <v>192.2</v>
      </c>
      <c r="E157">
        <f t="shared" si="4"/>
        <v>192.22791958436864</v>
      </c>
      <c r="K157" t="s">
        <v>49</v>
      </c>
      <c r="L157" t="s">
        <v>6</v>
      </c>
      <c r="M157" s="1">
        <v>103.3</v>
      </c>
      <c r="N157" s="1">
        <v>26.48</v>
      </c>
      <c r="O157">
        <f t="shared" si="5"/>
        <v>21.217599576012066</v>
      </c>
    </row>
    <row r="158" spans="1:15" x14ac:dyDescent="0.2">
      <c r="A158" t="s">
        <v>50</v>
      </c>
      <c r="B158" t="s">
        <v>4</v>
      </c>
      <c r="C158" s="1">
        <v>79.34</v>
      </c>
      <c r="D158" s="1">
        <v>16.350000000000001</v>
      </c>
      <c r="E158">
        <f t="shared" si="4"/>
        <v>16.352608990286875</v>
      </c>
      <c r="K158" t="s">
        <v>50</v>
      </c>
      <c r="L158" t="s">
        <v>6</v>
      </c>
      <c r="M158" s="1">
        <v>8.8940000000000001</v>
      </c>
      <c r="N158" s="1">
        <v>2.427</v>
      </c>
      <c r="O158">
        <f t="shared" si="5"/>
        <v>1.9738472828081048</v>
      </c>
    </row>
    <row r="159" spans="1:15" x14ac:dyDescent="0.2">
      <c r="A159" t="s">
        <v>50</v>
      </c>
      <c r="B159" t="s">
        <v>4</v>
      </c>
      <c r="C159" s="1">
        <v>77.290000000000006</v>
      </c>
      <c r="D159" s="1">
        <v>15.93</v>
      </c>
      <c r="E159">
        <f t="shared" si="4"/>
        <v>15.931638499291539</v>
      </c>
      <c r="K159" t="s">
        <v>50</v>
      </c>
      <c r="L159" t="s">
        <v>6</v>
      </c>
      <c r="M159" s="1">
        <v>8.6999999999999993</v>
      </c>
      <c r="N159" s="1">
        <v>2.3780000000000001</v>
      </c>
      <c r="O159">
        <f t="shared" si="5"/>
        <v>1.9343022544742956</v>
      </c>
    </row>
    <row r="160" spans="1:15" x14ac:dyDescent="0.2">
      <c r="A160" t="s">
        <v>50</v>
      </c>
      <c r="B160" t="s">
        <v>4</v>
      </c>
      <c r="C160" s="1">
        <v>80.02</v>
      </c>
      <c r="D160" s="1">
        <v>16.489999999999998</v>
      </c>
      <c r="E160">
        <f t="shared" si="4"/>
        <v>16.492247982421915</v>
      </c>
      <c r="K160" t="s">
        <v>50</v>
      </c>
      <c r="L160" t="s">
        <v>6</v>
      </c>
      <c r="M160" s="1">
        <v>8.76</v>
      </c>
      <c r="N160" s="1">
        <v>2.3929999999999998</v>
      </c>
      <c r="O160">
        <f t="shared" si="5"/>
        <v>1.9465326756084635</v>
      </c>
    </row>
    <row r="161" spans="1:15" x14ac:dyDescent="0.2">
      <c r="A161" t="s">
        <v>51</v>
      </c>
      <c r="B161" t="s">
        <v>4</v>
      </c>
      <c r="C161" s="1">
        <v>85.05</v>
      </c>
      <c r="D161" s="1">
        <v>17.53</v>
      </c>
      <c r="E161">
        <f t="shared" si="4"/>
        <v>17.525165821303158</v>
      </c>
      <c r="K161" t="s">
        <v>51</v>
      </c>
      <c r="L161" t="s">
        <v>6</v>
      </c>
      <c r="M161" s="1">
        <v>10</v>
      </c>
      <c r="N161" s="1">
        <v>2.7090000000000001</v>
      </c>
      <c r="O161">
        <f t="shared" si="5"/>
        <v>2.199294712381263</v>
      </c>
    </row>
    <row r="162" spans="1:15" x14ac:dyDescent="0.2">
      <c r="A162" t="s">
        <v>51</v>
      </c>
      <c r="B162" t="s">
        <v>4</v>
      </c>
      <c r="C162" s="1">
        <v>86.26</v>
      </c>
      <c r="D162" s="1">
        <v>17.77</v>
      </c>
      <c r="E162">
        <f t="shared" si="4"/>
        <v>17.773641086719923</v>
      </c>
      <c r="K162" t="s">
        <v>51</v>
      </c>
      <c r="L162" t="s">
        <v>6</v>
      </c>
      <c r="M162" s="1">
        <v>9.7650000000000006</v>
      </c>
      <c r="N162" s="1">
        <v>2.649</v>
      </c>
      <c r="O162">
        <f t="shared" si="5"/>
        <v>2.151392229605773</v>
      </c>
    </row>
    <row r="163" spans="1:15" x14ac:dyDescent="0.2">
      <c r="A163" t="s">
        <v>51</v>
      </c>
      <c r="B163" t="s">
        <v>4</v>
      </c>
      <c r="C163" s="1">
        <v>85.24</v>
      </c>
      <c r="D163" s="1">
        <v>17.559999999999999</v>
      </c>
      <c r="E163">
        <f t="shared" si="4"/>
        <v>17.564182598517363</v>
      </c>
      <c r="K163" t="s">
        <v>51</v>
      </c>
      <c r="L163" t="s">
        <v>6</v>
      </c>
      <c r="M163" s="1">
        <v>9.4209999999999994</v>
      </c>
      <c r="N163" s="1">
        <v>2.5609999999999999</v>
      </c>
      <c r="O163">
        <f t="shared" si="5"/>
        <v>2.0812711484365445</v>
      </c>
    </row>
    <row r="164" spans="1:15" x14ac:dyDescent="0.2">
      <c r="A164" t="s">
        <v>52</v>
      </c>
      <c r="B164" t="s">
        <v>4</v>
      </c>
      <c r="C164" s="1">
        <v>83.62</v>
      </c>
      <c r="D164" s="1">
        <v>17.23</v>
      </c>
      <c r="E164">
        <f t="shared" si="4"/>
        <v>17.231513234901534</v>
      </c>
      <c r="K164" t="s">
        <v>52</v>
      </c>
      <c r="L164" t="s">
        <v>6</v>
      </c>
      <c r="M164" s="1">
        <v>9.6389999999999993</v>
      </c>
      <c r="N164" s="1">
        <v>2.617</v>
      </c>
      <c r="O164">
        <f t="shared" si="5"/>
        <v>2.1257083452240204</v>
      </c>
    </row>
    <row r="165" spans="1:15" x14ac:dyDescent="0.2">
      <c r="A165" t="s">
        <v>52</v>
      </c>
      <c r="B165" t="s">
        <v>4</v>
      </c>
      <c r="C165" s="1">
        <v>81.92</v>
      </c>
      <c r="D165" s="1">
        <v>16.88</v>
      </c>
      <c r="E165">
        <f t="shared" si="4"/>
        <v>16.882415754563937</v>
      </c>
      <c r="K165" t="s">
        <v>52</v>
      </c>
      <c r="L165" t="s">
        <v>6</v>
      </c>
      <c r="M165" s="1">
        <v>10.039999999999999</v>
      </c>
      <c r="N165" s="1">
        <v>2.7189999999999999</v>
      </c>
      <c r="O165">
        <f t="shared" si="5"/>
        <v>2.2074483264707081</v>
      </c>
    </row>
    <row r="166" spans="1:15" x14ac:dyDescent="0.2">
      <c r="A166" t="s">
        <v>52</v>
      </c>
      <c r="B166" t="s">
        <v>4</v>
      </c>
      <c r="C166" s="1">
        <v>85</v>
      </c>
      <c r="D166" s="1">
        <v>17.510000000000002</v>
      </c>
      <c r="E166">
        <f t="shared" si="4"/>
        <v>17.514898248352054</v>
      </c>
      <c r="K166" t="s">
        <v>52</v>
      </c>
      <c r="L166" t="s">
        <v>6</v>
      </c>
      <c r="M166" s="1">
        <v>10.23</v>
      </c>
      <c r="N166" s="1">
        <v>2.7669999999999999</v>
      </c>
      <c r="O166">
        <f t="shared" si="5"/>
        <v>2.2461779933955728</v>
      </c>
    </row>
    <row r="167" spans="1:15" x14ac:dyDescent="0.2">
      <c r="A167" t="s">
        <v>53</v>
      </c>
      <c r="B167" t="s">
        <v>4</v>
      </c>
      <c r="C167" s="1">
        <v>221</v>
      </c>
      <c r="D167" s="1">
        <v>45.44</v>
      </c>
      <c r="E167">
        <f t="shared" si="4"/>
        <v>45.442696675359883</v>
      </c>
      <c r="K167" t="s">
        <v>53</v>
      </c>
      <c r="L167" t="s">
        <v>6</v>
      </c>
      <c r="M167" s="1">
        <v>19.97</v>
      </c>
      <c r="N167" s="1">
        <v>5.2489999999999997</v>
      </c>
      <c r="O167">
        <f t="shared" si="5"/>
        <v>4.2315830241754657</v>
      </c>
    </row>
    <row r="168" spans="1:15" x14ac:dyDescent="0.2">
      <c r="A168" t="s">
        <v>53</v>
      </c>
      <c r="B168" t="s">
        <v>4</v>
      </c>
      <c r="C168" s="1">
        <v>217.6</v>
      </c>
      <c r="D168" s="1">
        <v>44.74</v>
      </c>
      <c r="E168">
        <f t="shared" si="4"/>
        <v>44.744501714684688</v>
      </c>
      <c r="K168" t="s">
        <v>53</v>
      </c>
      <c r="L168" t="s">
        <v>6</v>
      </c>
      <c r="M168" s="1">
        <v>19.84</v>
      </c>
      <c r="N168" s="1">
        <v>5.2160000000000002</v>
      </c>
      <c r="O168">
        <f t="shared" si="5"/>
        <v>4.2050837783847692</v>
      </c>
    </row>
    <row r="169" spans="1:15" x14ac:dyDescent="0.2">
      <c r="A169" t="s">
        <v>53</v>
      </c>
      <c r="B169" t="s">
        <v>4</v>
      </c>
      <c r="C169" s="1">
        <v>216.9</v>
      </c>
      <c r="D169" s="1">
        <v>44.6</v>
      </c>
      <c r="E169">
        <f t="shared" si="4"/>
        <v>44.600755693369209</v>
      </c>
      <c r="K169" t="s">
        <v>53</v>
      </c>
      <c r="L169" t="s">
        <v>6</v>
      </c>
      <c r="M169" s="1">
        <v>20.399999999999999</v>
      </c>
      <c r="N169" s="1">
        <v>5.359</v>
      </c>
      <c r="O169">
        <f t="shared" si="5"/>
        <v>4.3192343756370004</v>
      </c>
    </row>
    <row r="170" spans="1:15" x14ac:dyDescent="0.2">
      <c r="A170" t="s">
        <v>54</v>
      </c>
      <c r="B170" t="s">
        <v>4</v>
      </c>
      <c r="C170" s="1">
        <v>233.9</v>
      </c>
      <c r="D170" s="1">
        <v>48.09</v>
      </c>
      <c r="E170">
        <f t="shared" si="4"/>
        <v>48.091730496745186</v>
      </c>
      <c r="K170" t="s">
        <v>54</v>
      </c>
      <c r="L170" t="s">
        <v>6</v>
      </c>
      <c r="M170" s="1">
        <v>21.1</v>
      </c>
      <c r="N170" s="1">
        <v>5.5369999999999999</v>
      </c>
      <c r="O170">
        <f t="shared" si="5"/>
        <v>4.4619226222022919</v>
      </c>
    </row>
    <row r="171" spans="1:15" x14ac:dyDescent="0.2">
      <c r="A171" t="s">
        <v>54</v>
      </c>
      <c r="B171" t="s">
        <v>4</v>
      </c>
      <c r="C171" s="1">
        <v>241.4</v>
      </c>
      <c r="D171" s="1">
        <v>49.63</v>
      </c>
      <c r="E171">
        <f t="shared" si="4"/>
        <v>49.631866439411056</v>
      </c>
      <c r="K171" t="s">
        <v>54</v>
      </c>
      <c r="L171" t="s">
        <v>6</v>
      </c>
      <c r="M171" s="1">
        <v>21.44</v>
      </c>
      <c r="N171" s="1">
        <v>5.6239999999999997</v>
      </c>
      <c r="O171">
        <f t="shared" si="5"/>
        <v>4.5312283419625752</v>
      </c>
    </row>
    <row r="172" spans="1:15" x14ac:dyDescent="0.2">
      <c r="A172" t="s">
        <v>54</v>
      </c>
      <c r="B172" t="s">
        <v>4</v>
      </c>
      <c r="C172" s="1">
        <v>238.3</v>
      </c>
      <c r="D172" s="1">
        <v>49</v>
      </c>
      <c r="E172">
        <f t="shared" si="4"/>
        <v>48.995276916442499</v>
      </c>
      <c r="K172" t="s">
        <v>54</v>
      </c>
      <c r="L172" t="s">
        <v>6</v>
      </c>
      <c r="M172" s="1">
        <v>21.67</v>
      </c>
      <c r="N172" s="1">
        <v>5.6820000000000004</v>
      </c>
      <c r="O172">
        <f t="shared" si="5"/>
        <v>4.578111622976885</v>
      </c>
    </row>
    <row r="173" spans="1:15" x14ac:dyDescent="0.2">
      <c r="A173" t="s">
        <v>55</v>
      </c>
      <c r="B173" t="s">
        <v>4</v>
      </c>
      <c r="C173" s="1">
        <v>238.4</v>
      </c>
      <c r="D173" s="1">
        <v>49.02</v>
      </c>
      <c r="E173">
        <f t="shared" si="4"/>
        <v>49.015812062344708</v>
      </c>
      <c r="K173" t="s">
        <v>55</v>
      </c>
      <c r="L173" t="s">
        <v>6</v>
      </c>
      <c r="M173" s="1">
        <v>21.23</v>
      </c>
      <c r="N173" s="1">
        <v>5.57</v>
      </c>
      <c r="O173">
        <f t="shared" si="5"/>
        <v>4.4884218679929884</v>
      </c>
    </row>
    <row r="174" spans="1:15" x14ac:dyDescent="0.2">
      <c r="A174" t="s">
        <v>55</v>
      </c>
      <c r="B174" t="s">
        <v>4</v>
      </c>
      <c r="C174" s="1">
        <v>244.7</v>
      </c>
      <c r="D174" s="1">
        <v>50.31</v>
      </c>
      <c r="E174">
        <f t="shared" si="4"/>
        <v>50.309526254184036</v>
      </c>
      <c r="K174" t="s">
        <v>55</v>
      </c>
      <c r="L174" t="s">
        <v>6</v>
      </c>
      <c r="M174" s="1">
        <v>21.01</v>
      </c>
      <c r="N174" s="1">
        <v>5.5140000000000002</v>
      </c>
      <c r="O174">
        <f t="shared" si="5"/>
        <v>4.4435769905010396</v>
      </c>
    </row>
    <row r="175" spans="1:15" x14ac:dyDescent="0.2">
      <c r="A175" t="s">
        <v>55</v>
      </c>
      <c r="B175" t="s">
        <v>4</v>
      </c>
      <c r="C175" s="1">
        <v>245.8</v>
      </c>
      <c r="D175" s="1">
        <v>50.54</v>
      </c>
      <c r="E175">
        <f t="shared" si="4"/>
        <v>50.535412859108369</v>
      </c>
      <c r="K175" t="s">
        <v>55</v>
      </c>
      <c r="L175" t="s">
        <v>6</v>
      </c>
      <c r="M175" s="1">
        <v>21.39</v>
      </c>
      <c r="N175" s="1">
        <v>5.6109999999999998</v>
      </c>
      <c r="O175">
        <f t="shared" si="5"/>
        <v>4.521036324350769</v>
      </c>
    </row>
    <row r="176" spans="1:15" x14ac:dyDescent="0.2">
      <c r="A176" t="s">
        <v>56</v>
      </c>
      <c r="B176" t="s">
        <v>4</v>
      </c>
      <c r="C176" s="1">
        <v>82.5</v>
      </c>
      <c r="D176" s="1">
        <v>17</v>
      </c>
      <c r="E176">
        <f t="shared" si="4"/>
        <v>17.001519600796762</v>
      </c>
      <c r="K176" t="s">
        <v>56</v>
      </c>
      <c r="L176" t="s">
        <v>6</v>
      </c>
      <c r="M176" s="1">
        <v>6.5910000000000002</v>
      </c>
      <c r="N176" s="1">
        <v>1.84</v>
      </c>
      <c r="O176">
        <f t="shared" si="5"/>
        <v>1.5044029516083004</v>
      </c>
    </row>
    <row r="177" spans="1:15" x14ac:dyDescent="0.2">
      <c r="A177" t="s">
        <v>56</v>
      </c>
      <c r="B177" t="s">
        <v>4</v>
      </c>
      <c r="C177" s="1">
        <v>80.819999999999993</v>
      </c>
      <c r="D177" s="1">
        <v>16.66</v>
      </c>
      <c r="E177">
        <f t="shared" si="4"/>
        <v>16.656529149639606</v>
      </c>
      <c r="K177" t="s">
        <v>56</v>
      </c>
      <c r="L177" t="s">
        <v>6</v>
      </c>
      <c r="M177" s="1">
        <v>6.4320000000000004</v>
      </c>
      <c r="N177" s="1">
        <v>1.8</v>
      </c>
      <c r="O177">
        <f t="shared" si="5"/>
        <v>1.471992335602756</v>
      </c>
    </row>
    <row r="178" spans="1:15" x14ac:dyDescent="0.2">
      <c r="A178" t="s">
        <v>56</v>
      </c>
      <c r="B178" t="s">
        <v>4</v>
      </c>
      <c r="C178" s="1">
        <v>83.45</v>
      </c>
      <c r="D178" s="1">
        <v>17.2</v>
      </c>
      <c r="E178">
        <f t="shared" si="4"/>
        <v>17.196603486867776</v>
      </c>
      <c r="K178" t="s">
        <v>56</v>
      </c>
      <c r="L178" t="s">
        <v>6</v>
      </c>
      <c r="M178" s="1">
        <v>6.5309999999999997</v>
      </c>
      <c r="N178" s="1">
        <v>1.825</v>
      </c>
      <c r="O178">
        <f t="shared" si="5"/>
        <v>1.4921725304741325</v>
      </c>
    </row>
    <row r="179" spans="1:15" x14ac:dyDescent="0.2">
      <c r="A179" t="s">
        <v>57</v>
      </c>
      <c r="B179" t="s">
        <v>4</v>
      </c>
      <c r="C179" s="1">
        <v>86.51</v>
      </c>
      <c r="D179" s="1">
        <v>17.82</v>
      </c>
      <c r="E179">
        <f t="shared" si="4"/>
        <v>17.824978951475451</v>
      </c>
      <c r="K179" t="s">
        <v>57</v>
      </c>
      <c r="L179" t="s">
        <v>6</v>
      </c>
      <c r="M179" s="1">
        <v>6.7759999999999998</v>
      </c>
      <c r="N179" s="1">
        <v>1.887</v>
      </c>
      <c r="O179">
        <f t="shared" si="5"/>
        <v>1.5421134167719841</v>
      </c>
    </row>
    <row r="180" spans="1:15" x14ac:dyDescent="0.2">
      <c r="A180" t="s">
        <v>57</v>
      </c>
      <c r="B180" t="s">
        <v>4</v>
      </c>
      <c r="C180" s="1">
        <v>84.99</v>
      </c>
      <c r="D180" s="1">
        <v>17.510000000000002</v>
      </c>
      <c r="E180">
        <f t="shared" si="4"/>
        <v>17.512844733761831</v>
      </c>
      <c r="K180" t="s">
        <v>57</v>
      </c>
      <c r="L180" t="s">
        <v>6</v>
      </c>
      <c r="M180" s="1">
        <v>6.6</v>
      </c>
      <c r="N180" s="1">
        <v>1.843</v>
      </c>
      <c r="O180">
        <f t="shared" si="5"/>
        <v>1.5062375147784255</v>
      </c>
    </row>
    <row r="181" spans="1:15" x14ac:dyDescent="0.2">
      <c r="A181" t="s">
        <v>57</v>
      </c>
      <c r="B181" t="s">
        <v>4</v>
      </c>
      <c r="C181" s="1">
        <v>85.21</v>
      </c>
      <c r="D181" s="1">
        <v>17.559999999999999</v>
      </c>
      <c r="E181">
        <f t="shared" si="4"/>
        <v>17.558022054746697</v>
      </c>
      <c r="K181" t="s">
        <v>57</v>
      </c>
      <c r="L181" t="s">
        <v>6</v>
      </c>
      <c r="M181" s="1">
        <v>6.532</v>
      </c>
      <c r="N181" s="1">
        <v>1.825</v>
      </c>
      <c r="O181">
        <f t="shared" si="5"/>
        <v>1.4923763708263686</v>
      </c>
    </row>
    <row r="182" spans="1:15" x14ac:dyDescent="0.2">
      <c r="A182" t="s">
        <v>58</v>
      </c>
      <c r="B182" t="s">
        <v>4</v>
      </c>
      <c r="C182" s="1">
        <v>91.02</v>
      </c>
      <c r="D182" s="1">
        <v>18.75</v>
      </c>
      <c r="E182">
        <f t="shared" si="4"/>
        <v>18.751114031665193</v>
      </c>
      <c r="K182" t="s">
        <v>58</v>
      </c>
      <c r="L182" t="s">
        <v>6</v>
      </c>
      <c r="M182" s="1">
        <v>6.8049999999999997</v>
      </c>
      <c r="N182" s="1">
        <v>1.895</v>
      </c>
      <c r="O182">
        <f t="shared" si="5"/>
        <v>1.5480247869868318</v>
      </c>
    </row>
    <row r="183" spans="1:15" x14ac:dyDescent="0.2">
      <c r="A183" t="s">
        <v>58</v>
      </c>
      <c r="B183" t="s">
        <v>4</v>
      </c>
      <c r="C183" s="1">
        <v>92.87</v>
      </c>
      <c r="D183" s="1">
        <v>19.13</v>
      </c>
      <c r="E183">
        <f t="shared" si="4"/>
        <v>19.13101423085611</v>
      </c>
      <c r="K183" t="s">
        <v>58</v>
      </c>
      <c r="L183" t="s">
        <v>6</v>
      </c>
      <c r="M183" s="1">
        <v>6.8310000000000004</v>
      </c>
      <c r="N183" s="1">
        <v>1.901</v>
      </c>
      <c r="O183">
        <f t="shared" si="5"/>
        <v>1.5533246361449713</v>
      </c>
    </row>
    <row r="184" spans="1:15" x14ac:dyDescent="0.2">
      <c r="A184" t="s">
        <v>58</v>
      </c>
      <c r="B184" t="s">
        <v>4</v>
      </c>
      <c r="C184" s="1">
        <v>91.85</v>
      </c>
      <c r="D184" s="1">
        <v>18.920000000000002</v>
      </c>
      <c r="E184">
        <f t="shared" si="4"/>
        <v>18.921555742653549</v>
      </c>
      <c r="K184" t="s">
        <v>58</v>
      </c>
      <c r="L184" t="s">
        <v>6</v>
      </c>
      <c r="M184" s="1">
        <v>6.819</v>
      </c>
      <c r="N184" s="1">
        <v>1.8979999999999999</v>
      </c>
      <c r="O184">
        <f t="shared" si="5"/>
        <v>1.5508785519181376</v>
      </c>
    </row>
    <row r="185" spans="1:15" x14ac:dyDescent="0.2">
      <c r="A185" t="s">
        <v>59</v>
      </c>
      <c r="B185" t="s">
        <v>4</v>
      </c>
      <c r="C185" s="1">
        <v>212.8</v>
      </c>
      <c r="D185" s="1">
        <v>43.76</v>
      </c>
      <c r="E185">
        <f t="shared" si="4"/>
        <v>43.758814711378527</v>
      </c>
      <c r="K185" t="s">
        <v>59</v>
      </c>
      <c r="L185" t="s">
        <v>6</v>
      </c>
      <c r="M185" s="1">
        <v>34.630000000000003</v>
      </c>
      <c r="N185" s="1">
        <v>8.9849999999999994</v>
      </c>
      <c r="O185">
        <f t="shared" si="5"/>
        <v>7.2198825879571116</v>
      </c>
    </row>
    <row r="186" spans="1:15" x14ac:dyDescent="0.2">
      <c r="A186" t="s">
        <v>59</v>
      </c>
      <c r="B186" t="s">
        <v>4</v>
      </c>
      <c r="C186" s="1">
        <v>208.8</v>
      </c>
      <c r="D186" s="1">
        <v>42.94</v>
      </c>
      <c r="E186">
        <f t="shared" si="4"/>
        <v>42.937408875290068</v>
      </c>
      <c r="K186" t="s">
        <v>59</v>
      </c>
      <c r="L186" t="s">
        <v>6</v>
      </c>
      <c r="M186" s="1">
        <v>34.06</v>
      </c>
      <c r="N186" s="1">
        <v>8.8390000000000004</v>
      </c>
      <c r="O186">
        <f t="shared" si="5"/>
        <v>7.1036935871825184</v>
      </c>
    </row>
    <row r="187" spans="1:15" x14ac:dyDescent="0.2">
      <c r="A187" t="s">
        <v>59</v>
      </c>
      <c r="B187" t="s">
        <v>4</v>
      </c>
      <c r="C187" s="1">
        <v>215</v>
      </c>
      <c r="D187" s="1">
        <v>44.21</v>
      </c>
      <c r="E187">
        <f t="shared" si="4"/>
        <v>44.21058792122718</v>
      </c>
      <c r="K187" t="s">
        <v>59</v>
      </c>
      <c r="L187" t="s">
        <v>6</v>
      </c>
      <c r="M187" s="1">
        <v>33.96</v>
      </c>
      <c r="N187" s="1">
        <v>8.8140000000000001</v>
      </c>
      <c r="O187">
        <f t="shared" si="5"/>
        <v>7.0833095519589051</v>
      </c>
    </row>
    <row r="188" spans="1:15" x14ac:dyDescent="0.2">
      <c r="A188" t="s">
        <v>60</v>
      </c>
      <c r="B188" t="s">
        <v>4</v>
      </c>
      <c r="C188" s="1">
        <v>228.5</v>
      </c>
      <c r="D188" s="1">
        <v>46.98</v>
      </c>
      <c r="E188">
        <f t="shared" si="4"/>
        <v>46.982832618025753</v>
      </c>
      <c r="K188" t="s">
        <v>60</v>
      </c>
      <c r="L188" t="s">
        <v>6</v>
      </c>
      <c r="M188" s="1">
        <v>37.54</v>
      </c>
      <c r="N188" s="1">
        <v>9.7260000000000009</v>
      </c>
      <c r="O188">
        <f t="shared" si="5"/>
        <v>7.8130580129642455</v>
      </c>
    </row>
    <row r="189" spans="1:15" x14ac:dyDescent="0.2">
      <c r="A189" t="s">
        <v>60</v>
      </c>
      <c r="B189" t="s">
        <v>4</v>
      </c>
      <c r="C189" s="1">
        <v>228.7</v>
      </c>
      <c r="D189" s="1">
        <v>47.02</v>
      </c>
      <c r="E189">
        <f t="shared" si="4"/>
        <v>47.023902909830177</v>
      </c>
      <c r="K189" t="s">
        <v>60</v>
      </c>
      <c r="L189" t="s">
        <v>6</v>
      </c>
      <c r="M189" s="1">
        <v>37.92</v>
      </c>
      <c r="N189" s="1">
        <v>9.8230000000000004</v>
      </c>
      <c r="O189">
        <f t="shared" si="5"/>
        <v>7.8905173468139749</v>
      </c>
    </row>
    <row r="190" spans="1:15" x14ac:dyDescent="0.2">
      <c r="A190" t="s">
        <v>60</v>
      </c>
      <c r="B190" t="s">
        <v>4</v>
      </c>
      <c r="C190" s="1">
        <v>234.8</v>
      </c>
      <c r="D190" s="1">
        <v>48.28</v>
      </c>
      <c r="E190">
        <f t="shared" si="4"/>
        <v>48.276546809865089</v>
      </c>
      <c r="K190" t="s">
        <v>60</v>
      </c>
      <c r="L190" t="s">
        <v>6</v>
      </c>
      <c r="M190" s="1">
        <v>37.18</v>
      </c>
      <c r="N190" s="1">
        <v>9.6340000000000003</v>
      </c>
      <c r="O190">
        <f t="shared" si="5"/>
        <v>7.7396754861592392</v>
      </c>
    </row>
    <row r="191" spans="1:15" x14ac:dyDescent="0.2">
      <c r="A191" t="s">
        <v>61</v>
      </c>
      <c r="B191" t="s">
        <v>4</v>
      </c>
      <c r="C191" s="1">
        <v>217.2</v>
      </c>
      <c r="D191" s="1">
        <v>44.66</v>
      </c>
      <c r="E191">
        <f t="shared" si="4"/>
        <v>44.662361131075841</v>
      </c>
      <c r="K191" t="s">
        <v>61</v>
      </c>
      <c r="L191" t="s">
        <v>6</v>
      </c>
      <c r="M191" s="1">
        <v>37.049999999999997</v>
      </c>
      <c r="N191" s="1">
        <v>9.6010000000000009</v>
      </c>
      <c r="O191">
        <f t="shared" si="5"/>
        <v>7.7131762403685418</v>
      </c>
    </row>
    <row r="192" spans="1:15" x14ac:dyDescent="0.2">
      <c r="A192" t="s">
        <v>61</v>
      </c>
      <c r="B192" t="s">
        <v>4</v>
      </c>
      <c r="C192" s="1">
        <v>209.3</v>
      </c>
      <c r="D192" s="1">
        <v>43.04</v>
      </c>
      <c r="E192">
        <f t="shared" si="4"/>
        <v>43.040084604801123</v>
      </c>
      <c r="K192" t="s">
        <v>61</v>
      </c>
      <c r="L192" t="s">
        <v>6</v>
      </c>
      <c r="M192" s="1">
        <v>37.24</v>
      </c>
      <c r="N192" s="1">
        <v>9.65</v>
      </c>
      <c r="O192">
        <f t="shared" si="5"/>
        <v>7.7519059072934073</v>
      </c>
    </row>
    <row r="193" spans="1:15" x14ac:dyDescent="0.2">
      <c r="A193" t="s">
        <v>61</v>
      </c>
      <c r="B193" t="s">
        <v>4</v>
      </c>
      <c r="C193" s="1">
        <v>210.4</v>
      </c>
      <c r="D193" s="1">
        <v>43.27</v>
      </c>
      <c r="E193">
        <f t="shared" si="4"/>
        <v>43.26597120972545</v>
      </c>
      <c r="K193" t="s">
        <v>61</v>
      </c>
      <c r="L193" t="s">
        <v>6</v>
      </c>
      <c r="M193" s="1">
        <v>36.520000000000003</v>
      </c>
      <c r="N193" s="1">
        <v>9.4659999999999993</v>
      </c>
      <c r="O193">
        <f t="shared" si="5"/>
        <v>7.6051408536833947</v>
      </c>
    </row>
    <row r="194" spans="1:15" x14ac:dyDescent="0.2">
      <c r="A194" t="s">
        <v>62</v>
      </c>
      <c r="B194" t="s">
        <v>4</v>
      </c>
      <c r="C194" s="1">
        <v>29.22</v>
      </c>
      <c r="D194" s="1">
        <v>6.06</v>
      </c>
      <c r="E194">
        <f t="shared" si="4"/>
        <v>6.0603938640984047</v>
      </c>
      <c r="K194" t="s">
        <v>62</v>
      </c>
      <c r="L194" t="s">
        <v>6</v>
      </c>
      <c r="M194" s="1">
        <v>1.909</v>
      </c>
      <c r="N194" s="1">
        <v>0.64729999999999999</v>
      </c>
      <c r="O194">
        <f t="shared" si="5"/>
        <v>0.55002242243874599</v>
      </c>
    </row>
    <row r="195" spans="1:15" x14ac:dyDescent="0.2">
      <c r="A195" t="s">
        <v>62</v>
      </c>
      <c r="B195" t="s">
        <v>4</v>
      </c>
      <c r="C195" s="1">
        <v>28.73</v>
      </c>
      <c r="D195" s="1">
        <v>5.96</v>
      </c>
      <c r="E195">
        <f t="shared" si="4"/>
        <v>5.9597716491775676</v>
      </c>
      <c r="K195" t="s">
        <v>62</v>
      </c>
      <c r="L195" t="s">
        <v>6</v>
      </c>
      <c r="M195" s="1">
        <v>1.8620000000000001</v>
      </c>
      <c r="N195" s="1">
        <v>0.63529999999999998</v>
      </c>
      <c r="O195">
        <f t="shared" si="5"/>
        <v>0.54044192588364792</v>
      </c>
    </row>
    <row r="196" spans="1:15" x14ac:dyDescent="0.2">
      <c r="A196" t="s">
        <v>62</v>
      </c>
      <c r="B196" t="s">
        <v>4</v>
      </c>
      <c r="C196" s="1">
        <v>29.38</v>
      </c>
      <c r="D196" s="1">
        <v>6.093</v>
      </c>
      <c r="E196">
        <f t="shared" si="4"/>
        <v>6.0932500975419428</v>
      </c>
      <c r="K196" t="s">
        <v>62</v>
      </c>
      <c r="L196" t="s">
        <v>6</v>
      </c>
      <c r="M196" s="1">
        <v>1.8169999999999999</v>
      </c>
      <c r="N196" s="1">
        <v>0.62390000000000001</v>
      </c>
      <c r="O196">
        <f t="shared" si="5"/>
        <v>0.53126911003302213</v>
      </c>
    </row>
    <row r="197" spans="1:15" x14ac:dyDescent="0.2">
      <c r="A197" t="s">
        <v>63</v>
      </c>
      <c r="B197" t="s">
        <v>4</v>
      </c>
      <c r="C197" s="1">
        <v>32.1</v>
      </c>
      <c r="D197" s="1">
        <v>6.6520000000000001</v>
      </c>
      <c r="E197">
        <f t="shared" si="4"/>
        <v>6.6518060660820995</v>
      </c>
      <c r="K197" t="s">
        <v>63</v>
      </c>
      <c r="L197" t="s">
        <v>6</v>
      </c>
      <c r="M197" s="1">
        <v>1.9670000000000001</v>
      </c>
      <c r="N197" s="1">
        <v>0.66210000000000002</v>
      </c>
      <c r="O197">
        <f t="shared" si="5"/>
        <v>0.56184516286844144</v>
      </c>
    </row>
    <row r="198" spans="1:15" x14ac:dyDescent="0.2">
      <c r="A198" t="s">
        <v>63</v>
      </c>
      <c r="B198" t="s">
        <v>4</v>
      </c>
      <c r="C198" s="1">
        <v>31.33</v>
      </c>
      <c r="D198" s="1">
        <v>6.4939999999999998</v>
      </c>
      <c r="E198">
        <f t="shared" si="4"/>
        <v>6.4936854426350701</v>
      </c>
      <c r="K198" t="s">
        <v>63</v>
      </c>
      <c r="L198" t="s">
        <v>6</v>
      </c>
      <c r="M198" s="1">
        <v>2.0950000000000002</v>
      </c>
      <c r="N198" s="1">
        <v>0.69469999999999998</v>
      </c>
      <c r="O198">
        <f t="shared" si="5"/>
        <v>0.58793672795466589</v>
      </c>
    </row>
    <row r="199" spans="1:15" x14ac:dyDescent="0.2">
      <c r="A199" t="s">
        <v>63</v>
      </c>
      <c r="B199" t="s">
        <v>4</v>
      </c>
      <c r="C199" s="1">
        <v>31.65</v>
      </c>
      <c r="D199" s="1">
        <v>6.5590000000000002</v>
      </c>
      <c r="E199">
        <f t="shared" si="4"/>
        <v>6.5593979095221471</v>
      </c>
      <c r="K199" t="s">
        <v>63</v>
      </c>
      <c r="L199" t="s">
        <v>6</v>
      </c>
      <c r="M199" s="1">
        <v>1.984</v>
      </c>
      <c r="N199" s="1">
        <v>0.66639999999999999</v>
      </c>
      <c r="O199">
        <f t="shared" si="5"/>
        <v>0.56531044885645554</v>
      </c>
    </row>
    <row r="200" spans="1:15" x14ac:dyDescent="0.2">
      <c r="A200" t="s">
        <v>64</v>
      </c>
      <c r="B200" t="s">
        <v>4</v>
      </c>
      <c r="C200" s="1">
        <v>32.71</v>
      </c>
      <c r="D200" s="1">
        <v>6.7770000000000001</v>
      </c>
      <c r="E200">
        <f t="shared" si="4"/>
        <v>6.7770704560855899</v>
      </c>
      <c r="K200" t="s">
        <v>64</v>
      </c>
      <c r="L200" t="s">
        <v>6</v>
      </c>
      <c r="M200" s="1">
        <v>2.4769999999999999</v>
      </c>
      <c r="N200" s="1">
        <v>0.79200000000000004</v>
      </c>
      <c r="O200">
        <f t="shared" si="5"/>
        <v>0.66580374250886698</v>
      </c>
    </row>
    <row r="201" spans="1:15" x14ac:dyDescent="0.2">
      <c r="A201" t="s">
        <v>64</v>
      </c>
      <c r="B201" t="s">
        <v>4</v>
      </c>
      <c r="C201" s="1">
        <v>33.85</v>
      </c>
      <c r="D201" s="1">
        <v>7.0110000000000001</v>
      </c>
      <c r="E201">
        <f t="shared" si="4"/>
        <v>7.0111711193708031</v>
      </c>
      <c r="K201" t="s">
        <v>64</v>
      </c>
      <c r="L201" t="s">
        <v>6</v>
      </c>
      <c r="M201" s="1">
        <v>2.5750000000000002</v>
      </c>
      <c r="N201" s="1">
        <v>0.81699999999999995</v>
      </c>
      <c r="O201">
        <f t="shared" si="5"/>
        <v>0.68578009702800768</v>
      </c>
    </row>
    <row r="202" spans="1:15" x14ac:dyDescent="0.2">
      <c r="A202" t="s">
        <v>64</v>
      </c>
      <c r="B202" t="s">
        <v>4</v>
      </c>
      <c r="C202" s="1">
        <v>33.619999999999997</v>
      </c>
      <c r="D202" s="1">
        <v>6.9640000000000004</v>
      </c>
      <c r="E202">
        <f t="shared" si="4"/>
        <v>6.9639402837957158</v>
      </c>
      <c r="K202" t="s">
        <v>64</v>
      </c>
      <c r="L202" t="s">
        <v>6</v>
      </c>
      <c r="M202" s="1">
        <v>2.5779999999999998</v>
      </c>
      <c r="N202" s="1">
        <v>0.81779999999999997</v>
      </c>
      <c r="O202">
        <f t="shared" si="5"/>
        <v>0.68639161808471594</v>
      </c>
    </row>
    <row r="203" spans="1:15" x14ac:dyDescent="0.2">
      <c r="A203" t="s">
        <v>65</v>
      </c>
      <c r="B203" t="s">
        <v>4</v>
      </c>
      <c r="C203" s="1">
        <v>17.86</v>
      </c>
      <c r="D203" s="1">
        <v>3.7280000000000002</v>
      </c>
      <c r="E203">
        <f t="shared" si="4"/>
        <v>3.7276012896071626</v>
      </c>
      <c r="K203" t="s">
        <v>65</v>
      </c>
      <c r="L203" t="s">
        <v>6</v>
      </c>
      <c r="M203" s="1">
        <v>0.90910000000000002</v>
      </c>
      <c r="N203" s="1">
        <v>0.39250000000000002</v>
      </c>
      <c r="O203">
        <f t="shared" si="5"/>
        <v>0.34620245423784091</v>
      </c>
    </row>
    <row r="204" spans="1:15" x14ac:dyDescent="0.2">
      <c r="A204" t="s">
        <v>65</v>
      </c>
      <c r="B204" t="s">
        <v>4</v>
      </c>
      <c r="C204" s="1">
        <v>18.21</v>
      </c>
      <c r="D204" s="1">
        <v>3.7989999999999999</v>
      </c>
      <c r="E204">
        <f t="shared" si="4"/>
        <v>3.7994743002649036</v>
      </c>
      <c r="K204" t="s">
        <v>65</v>
      </c>
      <c r="L204" t="s">
        <v>6</v>
      </c>
      <c r="M204" s="1">
        <v>0.87860000000000005</v>
      </c>
      <c r="N204" s="1">
        <v>0.38479999999999998</v>
      </c>
      <c r="O204">
        <f t="shared" si="5"/>
        <v>0.339985323494639</v>
      </c>
    </row>
    <row r="205" spans="1:15" x14ac:dyDescent="0.2">
      <c r="A205" t="s">
        <v>65</v>
      </c>
      <c r="B205" t="s">
        <v>4</v>
      </c>
      <c r="C205" s="1">
        <v>18.5</v>
      </c>
      <c r="D205" s="1">
        <v>3.859</v>
      </c>
      <c r="E205">
        <f t="shared" si="4"/>
        <v>3.8590262233813175</v>
      </c>
      <c r="K205" t="s">
        <v>65</v>
      </c>
      <c r="L205" t="s">
        <v>6</v>
      </c>
      <c r="M205" s="1">
        <v>0.73119999999999996</v>
      </c>
      <c r="N205" s="1">
        <v>0.34720000000000001</v>
      </c>
      <c r="O205">
        <f t="shared" si="5"/>
        <v>0.3099392555750336</v>
      </c>
    </row>
    <row r="206" spans="1:15" x14ac:dyDescent="0.2">
      <c r="A206" t="s">
        <v>66</v>
      </c>
      <c r="B206" t="s">
        <v>4</v>
      </c>
      <c r="C206" s="1">
        <v>20.56</v>
      </c>
      <c r="D206" s="1">
        <v>4.282</v>
      </c>
      <c r="E206">
        <f t="shared" si="4"/>
        <v>4.2820502289668765</v>
      </c>
      <c r="K206" t="s">
        <v>66</v>
      </c>
      <c r="L206" t="s">
        <v>6</v>
      </c>
      <c r="M206" s="1">
        <v>0.75290000000000001</v>
      </c>
      <c r="N206" s="1">
        <v>0.35270000000000001</v>
      </c>
      <c r="O206">
        <f t="shared" si="5"/>
        <v>0.31436259121855764</v>
      </c>
    </row>
    <row r="207" spans="1:15" x14ac:dyDescent="0.2">
      <c r="A207" t="s">
        <v>66</v>
      </c>
      <c r="B207" t="s">
        <v>4</v>
      </c>
      <c r="C207" s="1">
        <v>19.96</v>
      </c>
      <c r="D207" s="1">
        <v>4.1589999999999998</v>
      </c>
      <c r="E207">
        <f t="shared" si="4"/>
        <v>4.1588393535536072</v>
      </c>
      <c r="K207" t="s">
        <v>66</v>
      </c>
      <c r="L207" t="s">
        <v>6</v>
      </c>
      <c r="M207" s="1">
        <v>0.79930000000000001</v>
      </c>
      <c r="N207" s="1">
        <v>0.36459999999999998</v>
      </c>
      <c r="O207">
        <f t="shared" si="5"/>
        <v>0.32382078356231397</v>
      </c>
    </row>
    <row r="208" spans="1:15" x14ac:dyDescent="0.2">
      <c r="A208" t="s">
        <v>66</v>
      </c>
      <c r="B208" t="s">
        <v>4</v>
      </c>
      <c r="C208" s="1">
        <v>20.6</v>
      </c>
      <c r="D208" s="1">
        <v>4.29</v>
      </c>
      <c r="E208">
        <f t="shared" si="4"/>
        <v>4.2902642873277621</v>
      </c>
      <c r="K208" t="s">
        <v>66</v>
      </c>
      <c r="L208" t="s">
        <v>6</v>
      </c>
      <c r="M208" s="1">
        <v>0.85289999999999999</v>
      </c>
      <c r="N208" s="1">
        <v>0.37819999999999998</v>
      </c>
      <c r="O208">
        <f t="shared" si="5"/>
        <v>0.33474662644217046</v>
      </c>
    </row>
    <row r="209" spans="1:15" x14ac:dyDescent="0.2">
      <c r="A209" t="s">
        <v>67</v>
      </c>
      <c r="B209" t="s">
        <v>4</v>
      </c>
      <c r="C209" s="1">
        <v>19.12</v>
      </c>
      <c r="D209" s="1">
        <v>3.9860000000000002</v>
      </c>
      <c r="E209">
        <f t="shared" si="4"/>
        <v>3.9863441279750296</v>
      </c>
      <c r="K209" t="s">
        <v>67</v>
      </c>
      <c r="L209" t="s">
        <v>6</v>
      </c>
      <c r="M209" s="1">
        <v>0.62929999999999997</v>
      </c>
      <c r="N209" s="1">
        <v>0.32119999999999999</v>
      </c>
      <c r="O209">
        <f t="shared" si="5"/>
        <v>0.28916792368217215</v>
      </c>
    </row>
    <row r="210" spans="1:15" x14ac:dyDescent="0.2">
      <c r="A210" t="s">
        <v>67</v>
      </c>
      <c r="B210" t="s">
        <v>4</v>
      </c>
      <c r="C210" s="1">
        <v>18.739999999999998</v>
      </c>
      <c r="D210" s="1">
        <v>3.9079999999999999</v>
      </c>
      <c r="E210">
        <f t="shared" si="4"/>
        <v>3.908310573546625</v>
      </c>
      <c r="K210" t="s">
        <v>67</v>
      </c>
      <c r="L210" t="s">
        <v>6</v>
      </c>
      <c r="M210" s="1">
        <v>0.66390000000000005</v>
      </c>
      <c r="N210" s="1">
        <v>0.3301</v>
      </c>
      <c r="O210">
        <f t="shared" si="5"/>
        <v>0.2962207998695422</v>
      </c>
    </row>
    <row r="211" spans="1:15" x14ac:dyDescent="0.2">
      <c r="A211" t="s">
        <v>67</v>
      </c>
      <c r="B211" t="s">
        <v>4</v>
      </c>
      <c r="C211" s="1">
        <v>18.87</v>
      </c>
      <c r="D211" s="1">
        <v>3.9350000000000001</v>
      </c>
      <c r="E211">
        <f t="shared" si="4"/>
        <v>3.9350062632195004</v>
      </c>
      <c r="K211" t="s">
        <v>67</v>
      </c>
      <c r="L211" t="s">
        <v>6</v>
      </c>
      <c r="M211" s="1">
        <v>0.67010000000000003</v>
      </c>
      <c r="N211" s="1">
        <v>0.33160000000000001</v>
      </c>
      <c r="O211">
        <f t="shared" si="5"/>
        <v>0.29748461005340615</v>
      </c>
    </row>
    <row r="212" spans="1:15" x14ac:dyDescent="0.2">
      <c r="A212" t="s">
        <v>68</v>
      </c>
      <c r="B212" t="s">
        <v>4</v>
      </c>
      <c r="C212" s="1">
        <v>302.7</v>
      </c>
      <c r="D212" s="1">
        <v>62.22</v>
      </c>
      <c r="E212">
        <f t="shared" si="4"/>
        <v>62.219910877466788</v>
      </c>
      <c r="K212" t="s">
        <v>68</v>
      </c>
      <c r="L212" t="s">
        <v>6</v>
      </c>
      <c r="M212" s="1">
        <v>43.3</v>
      </c>
      <c r="N212" s="1">
        <v>11.19</v>
      </c>
      <c r="O212">
        <f t="shared" si="5"/>
        <v>8.9871784418443461</v>
      </c>
    </row>
    <row r="213" spans="1:15" x14ac:dyDescent="0.2">
      <c r="A213" t="s">
        <v>68</v>
      </c>
      <c r="B213" t="s">
        <v>4</v>
      </c>
      <c r="C213" s="1">
        <v>308.89999999999998</v>
      </c>
      <c r="D213" s="1">
        <v>63.49</v>
      </c>
      <c r="E213">
        <f t="shared" si="4"/>
        <v>63.493089923403907</v>
      </c>
      <c r="K213" t="s">
        <v>68</v>
      </c>
      <c r="L213" t="s">
        <v>6</v>
      </c>
      <c r="M213" s="1">
        <v>42.21</v>
      </c>
      <c r="N213" s="1">
        <v>10.92</v>
      </c>
      <c r="O213">
        <f t="shared" si="5"/>
        <v>8.7649924579069669</v>
      </c>
    </row>
    <row r="214" spans="1:15" x14ac:dyDescent="0.2">
      <c r="A214" t="s">
        <v>68</v>
      </c>
      <c r="B214" t="s">
        <v>4</v>
      </c>
      <c r="C214" s="1">
        <v>309</v>
      </c>
      <c r="D214" s="1">
        <v>63.51</v>
      </c>
      <c r="E214">
        <f t="shared" si="4"/>
        <v>63.513625069306123</v>
      </c>
      <c r="K214" t="s">
        <v>68</v>
      </c>
      <c r="L214" t="s">
        <v>6</v>
      </c>
      <c r="M214" s="1">
        <v>43.84</v>
      </c>
      <c r="N214" s="1">
        <v>11.33</v>
      </c>
      <c r="O214">
        <f t="shared" si="5"/>
        <v>9.0972522320518561</v>
      </c>
    </row>
    <row r="215" spans="1:15" x14ac:dyDescent="0.2">
      <c r="A215" t="s">
        <v>69</v>
      </c>
      <c r="B215" t="s">
        <v>4</v>
      </c>
      <c r="C215" s="1">
        <v>315.2</v>
      </c>
      <c r="D215" s="1">
        <v>64.790000000000006</v>
      </c>
      <c r="E215">
        <f t="shared" si="4"/>
        <v>64.786804115243243</v>
      </c>
      <c r="K215" t="s">
        <v>69</v>
      </c>
      <c r="L215" t="s">
        <v>6</v>
      </c>
      <c r="M215" s="1">
        <v>45.45</v>
      </c>
      <c r="N215" s="1">
        <v>11.74</v>
      </c>
      <c r="O215">
        <f t="shared" si="5"/>
        <v>9.4254351991520231</v>
      </c>
    </row>
    <row r="216" spans="1:15" x14ac:dyDescent="0.2">
      <c r="A216" t="s">
        <v>69</v>
      </c>
      <c r="B216" t="s">
        <v>4</v>
      </c>
      <c r="C216" s="1">
        <v>310.89999999999998</v>
      </c>
      <c r="D216" s="1">
        <v>63.9</v>
      </c>
      <c r="E216">
        <f t="shared" ref="E216:E226" si="6">(C216+0.2923)/4.8697</f>
        <v>63.903792841448137</v>
      </c>
      <c r="K216" t="s">
        <v>69</v>
      </c>
      <c r="L216" t="s">
        <v>6</v>
      </c>
      <c r="M216" s="1">
        <v>44.5</v>
      </c>
      <c r="N216" s="1">
        <v>11.5</v>
      </c>
      <c r="O216">
        <f t="shared" ref="O216:O226" si="7">(M216+0.7893)/4.9058</f>
        <v>9.2317868645277006</v>
      </c>
    </row>
    <row r="217" spans="1:15" x14ac:dyDescent="0.2">
      <c r="A217" t="s">
        <v>69</v>
      </c>
      <c r="B217" t="s">
        <v>4</v>
      </c>
      <c r="C217" s="1">
        <v>317.60000000000002</v>
      </c>
      <c r="D217" s="1">
        <v>65.28</v>
      </c>
      <c r="E217">
        <f t="shared" si="6"/>
        <v>65.279647616896327</v>
      </c>
      <c r="K217" t="s">
        <v>69</v>
      </c>
      <c r="L217" t="s">
        <v>6</v>
      </c>
      <c r="M217" s="1">
        <v>44.94</v>
      </c>
      <c r="N217" s="1">
        <v>11.61</v>
      </c>
      <c r="O217">
        <f t="shared" si="7"/>
        <v>9.3214766195115963</v>
      </c>
    </row>
    <row r="218" spans="1:15" x14ac:dyDescent="0.2">
      <c r="A218" t="s">
        <v>70</v>
      </c>
      <c r="B218" t="s">
        <v>4</v>
      </c>
      <c r="C218" s="1">
        <v>316.39999999999998</v>
      </c>
      <c r="D218" s="1">
        <v>65.03</v>
      </c>
      <c r="E218">
        <f t="shared" si="6"/>
        <v>65.03322586606977</v>
      </c>
      <c r="K218" t="s">
        <v>70</v>
      </c>
      <c r="L218" t="s">
        <v>6</v>
      </c>
      <c r="M218" s="1">
        <v>44.92</v>
      </c>
      <c r="N218" s="1">
        <v>11.61</v>
      </c>
      <c r="O218">
        <f t="shared" si="7"/>
        <v>9.317399812466876</v>
      </c>
    </row>
    <row r="219" spans="1:15" x14ac:dyDescent="0.2">
      <c r="A219" t="s">
        <v>70</v>
      </c>
      <c r="B219" t="s">
        <v>4</v>
      </c>
      <c r="C219" s="1">
        <v>322.39999999999998</v>
      </c>
      <c r="D219" s="1">
        <v>66.27</v>
      </c>
      <c r="E219">
        <f t="shared" si="6"/>
        <v>66.265334620202481</v>
      </c>
      <c r="K219" t="s">
        <v>70</v>
      </c>
      <c r="L219" t="s">
        <v>6</v>
      </c>
      <c r="M219" s="1">
        <v>46.19</v>
      </c>
      <c r="N219" s="1">
        <v>11.93</v>
      </c>
      <c r="O219">
        <f t="shared" si="7"/>
        <v>9.5762770598067579</v>
      </c>
    </row>
    <row r="220" spans="1:15" x14ac:dyDescent="0.2">
      <c r="A220" t="s">
        <v>70</v>
      </c>
      <c r="B220" t="s">
        <v>4</v>
      </c>
      <c r="C220" s="1">
        <v>313.8</v>
      </c>
      <c r="D220" s="1">
        <v>64.5</v>
      </c>
      <c r="E220">
        <f t="shared" si="6"/>
        <v>64.499312072612284</v>
      </c>
      <c r="K220" t="s">
        <v>70</v>
      </c>
      <c r="L220" t="s">
        <v>6</v>
      </c>
      <c r="M220" s="1">
        <v>46.11</v>
      </c>
      <c r="N220" s="1">
        <v>11.91</v>
      </c>
      <c r="O220">
        <f t="shared" si="7"/>
        <v>9.5599698316278676</v>
      </c>
    </row>
    <row r="221" spans="1:15" x14ac:dyDescent="0.2">
      <c r="A221" t="s">
        <v>8</v>
      </c>
      <c r="B221" t="s">
        <v>4</v>
      </c>
      <c r="C221" s="1">
        <v>0.68289999999999995</v>
      </c>
      <c r="D221" s="1">
        <v>0.20030000000000001</v>
      </c>
      <c r="E221">
        <f t="shared" si="6"/>
        <v>0.20025874283836786</v>
      </c>
      <c r="K221" t="s">
        <v>8</v>
      </c>
      <c r="L221" t="s">
        <v>6</v>
      </c>
      <c r="M221" s="1">
        <v>0</v>
      </c>
      <c r="N221" s="1">
        <v>0.16089999999999999</v>
      </c>
      <c r="O221">
        <f t="shared" si="7"/>
        <v>0.16089119001997634</v>
      </c>
    </row>
    <row r="222" spans="1:15" x14ac:dyDescent="0.2">
      <c r="A222" t="s">
        <v>8</v>
      </c>
      <c r="B222" t="s">
        <v>4</v>
      </c>
      <c r="C222" s="1">
        <v>0.69030000000000002</v>
      </c>
      <c r="D222" s="1">
        <v>0.20180000000000001</v>
      </c>
      <c r="E222">
        <f t="shared" si="6"/>
        <v>0.20177834363513153</v>
      </c>
      <c r="K222" t="s">
        <v>8</v>
      </c>
      <c r="L222" t="s">
        <v>6</v>
      </c>
      <c r="M222" s="1">
        <v>0</v>
      </c>
      <c r="N222" s="1">
        <v>0.16089999999999999</v>
      </c>
      <c r="O222">
        <f t="shared" si="7"/>
        <v>0.16089119001997634</v>
      </c>
    </row>
    <row r="223" spans="1:15" x14ac:dyDescent="0.2">
      <c r="A223" t="s">
        <v>8</v>
      </c>
      <c r="B223" t="s">
        <v>4</v>
      </c>
      <c r="C223" s="1">
        <v>0.78680000000000005</v>
      </c>
      <c r="D223" s="1">
        <v>0.22159999999999999</v>
      </c>
      <c r="E223">
        <f t="shared" si="6"/>
        <v>0.22159475943076576</v>
      </c>
      <c r="K223" t="s">
        <v>8</v>
      </c>
      <c r="L223" t="s">
        <v>6</v>
      </c>
      <c r="M223" s="1">
        <v>0</v>
      </c>
      <c r="N223" s="1">
        <v>0.16089999999999999</v>
      </c>
      <c r="O223">
        <f t="shared" si="7"/>
        <v>0.16089119001997634</v>
      </c>
    </row>
    <row r="224" spans="1:15" x14ac:dyDescent="0.2">
      <c r="A224" t="s">
        <v>9</v>
      </c>
      <c r="B224" t="s">
        <v>4</v>
      </c>
      <c r="C224" s="1">
        <v>111.5</v>
      </c>
      <c r="D224" s="1">
        <v>36.79</v>
      </c>
      <c r="E224">
        <f t="shared" si="6"/>
        <v>22.956711912438138</v>
      </c>
      <c r="K224" t="s">
        <v>9</v>
      </c>
      <c r="L224" t="s">
        <v>6</v>
      </c>
      <c r="M224" s="1">
        <v>95.68</v>
      </c>
      <c r="N224" s="1">
        <v>24.54</v>
      </c>
      <c r="O224">
        <f t="shared" si="7"/>
        <v>19.664336091972768</v>
      </c>
    </row>
    <row r="225" spans="1:15" x14ac:dyDescent="0.2">
      <c r="A225" t="s">
        <v>9</v>
      </c>
      <c r="B225" t="s">
        <v>4</v>
      </c>
      <c r="C225" s="1">
        <v>116.2</v>
      </c>
      <c r="D225" s="1">
        <v>32.67</v>
      </c>
      <c r="E225">
        <f t="shared" si="6"/>
        <v>23.921863769842084</v>
      </c>
      <c r="K225" t="s">
        <v>9</v>
      </c>
      <c r="L225" t="s">
        <v>6</v>
      </c>
      <c r="M225" s="1">
        <v>99.93</v>
      </c>
      <c r="N225" s="1">
        <v>25.62</v>
      </c>
      <c r="O225">
        <f t="shared" si="7"/>
        <v>20.530657588976315</v>
      </c>
    </row>
    <row r="226" spans="1:15" x14ac:dyDescent="0.2">
      <c r="A226" t="s">
        <v>9</v>
      </c>
      <c r="B226" t="s">
        <v>4</v>
      </c>
      <c r="C226" s="1">
        <v>114.1</v>
      </c>
      <c r="D226" s="1">
        <v>34.51</v>
      </c>
      <c r="E226">
        <f t="shared" si="6"/>
        <v>23.490625705895638</v>
      </c>
      <c r="K226" t="s">
        <v>9</v>
      </c>
      <c r="L226" t="s">
        <v>6</v>
      </c>
      <c r="M226" s="1">
        <v>96.92</v>
      </c>
      <c r="N226" s="1">
        <v>24.86</v>
      </c>
      <c r="O226">
        <f t="shared" si="7"/>
        <v>19.917098128745565</v>
      </c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</sheetData>
  <sortState xmlns:xlrd2="http://schemas.microsoft.com/office/spreadsheetml/2017/richdata2" ref="A2:D451">
    <sortCondition ref="B2:B4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2019-08-23T22:54:25Z</dcterms:created>
  <dcterms:modified xsi:type="dcterms:W3CDTF">2019-08-23T23:00:47Z</dcterms:modified>
</cp:coreProperties>
</file>