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242592F5-3E20-2240-907A-38522302FC1B}" xr6:coauthVersionLast="43" xr6:coauthVersionMax="43" xr10:uidLastSave="{00000000-0000-0000-0000-000000000000}"/>
  <bookViews>
    <workbookView xWindow="-30320" yWindow="2460" windowWidth="27240" windowHeight="16540" activeTab="1" xr2:uid="{EF687A40-7147-4149-ACB4-BB2E17DFD8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Q25" i="2"/>
  <c r="Q23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0" i="2"/>
  <c r="E20" i="2"/>
  <c r="E21" i="2"/>
  <c r="E22" i="2"/>
  <c r="F24" i="2"/>
  <c r="F25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F23" i="2"/>
  <c r="E23" i="2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A2" i="1"/>
  <c r="B2" i="1"/>
  <c r="C2" i="1"/>
  <c r="D2" i="1"/>
  <c r="E2" i="1"/>
  <c r="F2" i="1"/>
  <c r="H2" i="1"/>
  <c r="I2" i="1"/>
  <c r="J2" i="1"/>
  <c r="K2" i="1"/>
  <c r="L2" i="1"/>
  <c r="M2" i="1"/>
  <c r="N2" i="1"/>
  <c r="O2" i="1"/>
  <c r="Q2" i="1"/>
  <c r="A3" i="1"/>
  <c r="B3" i="1"/>
  <c r="C3" i="1"/>
  <c r="D3" i="1"/>
  <c r="E3" i="1"/>
  <c r="F3" i="1"/>
  <c r="H3" i="1"/>
  <c r="I3" i="1"/>
  <c r="J3" i="1"/>
  <c r="K3" i="1"/>
  <c r="L3" i="1"/>
  <c r="M3" i="1"/>
  <c r="N3" i="1"/>
  <c r="O3" i="1"/>
  <c r="Q3" i="1"/>
  <c r="A4" i="1"/>
  <c r="B4" i="1"/>
  <c r="C4" i="1"/>
  <c r="D4" i="1"/>
  <c r="E4" i="1"/>
  <c r="F4" i="1"/>
  <c r="H4" i="1"/>
  <c r="I4" i="1"/>
  <c r="J4" i="1"/>
  <c r="K4" i="1"/>
  <c r="L4" i="1"/>
  <c r="M4" i="1"/>
  <c r="N4" i="1"/>
  <c r="O4" i="1"/>
  <c r="Q4" i="1"/>
  <c r="A5" i="1"/>
  <c r="B5" i="1"/>
  <c r="C5" i="1"/>
  <c r="D5" i="1"/>
  <c r="E5" i="1"/>
  <c r="F5" i="1"/>
  <c r="H5" i="1"/>
  <c r="I5" i="1"/>
  <c r="J5" i="1"/>
  <c r="K5" i="1"/>
  <c r="L5" i="1"/>
  <c r="M5" i="1"/>
  <c r="N5" i="1"/>
  <c r="O5" i="1"/>
  <c r="Q5" i="1"/>
  <c r="A6" i="1"/>
  <c r="B6" i="1"/>
  <c r="C6" i="1"/>
  <c r="D6" i="1"/>
  <c r="E6" i="1"/>
  <c r="F6" i="1"/>
  <c r="H6" i="1"/>
  <c r="I6" i="1"/>
  <c r="J6" i="1"/>
  <c r="K6" i="1"/>
  <c r="L6" i="1"/>
  <c r="M6" i="1"/>
  <c r="N6" i="1"/>
  <c r="O6" i="1"/>
  <c r="Q6" i="1"/>
  <c r="A7" i="1"/>
  <c r="B7" i="1"/>
  <c r="C7" i="1"/>
  <c r="D7" i="1"/>
  <c r="E7" i="1"/>
  <c r="F7" i="1"/>
  <c r="H7" i="1"/>
  <c r="I7" i="1"/>
  <c r="J7" i="1"/>
  <c r="K7" i="1"/>
  <c r="L7" i="1"/>
  <c r="M7" i="1"/>
  <c r="N7" i="1"/>
  <c r="O7" i="1"/>
  <c r="Q7" i="1"/>
  <c r="A8" i="1"/>
  <c r="B8" i="1"/>
  <c r="C8" i="1"/>
  <c r="D8" i="1"/>
  <c r="E8" i="1"/>
  <c r="F8" i="1"/>
  <c r="H8" i="1"/>
  <c r="I8" i="1"/>
  <c r="J8" i="1"/>
  <c r="K8" i="1"/>
  <c r="L8" i="1"/>
  <c r="M8" i="1"/>
  <c r="N8" i="1"/>
  <c r="O8" i="1"/>
  <c r="Q8" i="1"/>
  <c r="A9" i="1"/>
  <c r="B9" i="1"/>
  <c r="C9" i="1"/>
  <c r="D9" i="1"/>
  <c r="E9" i="1"/>
  <c r="F9" i="1"/>
  <c r="H9" i="1"/>
  <c r="I9" i="1"/>
  <c r="J9" i="1"/>
  <c r="K9" i="1"/>
  <c r="L9" i="1"/>
  <c r="M9" i="1"/>
  <c r="N9" i="1"/>
  <c r="O9" i="1"/>
  <c r="Q9" i="1"/>
  <c r="A10" i="1"/>
  <c r="B10" i="1"/>
  <c r="C10" i="1"/>
  <c r="D10" i="1"/>
  <c r="E10" i="1"/>
  <c r="F10" i="1"/>
  <c r="H10" i="1"/>
  <c r="I10" i="1"/>
  <c r="J10" i="1"/>
  <c r="K10" i="1"/>
  <c r="L10" i="1"/>
  <c r="M10" i="1"/>
  <c r="N10" i="1"/>
  <c r="O10" i="1"/>
  <c r="Q10" i="1"/>
  <c r="A11" i="1"/>
  <c r="B11" i="1"/>
  <c r="C11" i="1"/>
  <c r="D11" i="1"/>
  <c r="E11" i="1"/>
  <c r="F11" i="1"/>
  <c r="H11" i="1"/>
  <c r="I11" i="1"/>
  <c r="J11" i="1"/>
  <c r="K11" i="1"/>
  <c r="L11" i="1"/>
  <c r="M11" i="1"/>
  <c r="N11" i="1"/>
  <c r="O11" i="1"/>
  <c r="Q11" i="1"/>
  <c r="A12" i="1"/>
  <c r="B12" i="1"/>
  <c r="C12" i="1"/>
  <c r="D12" i="1"/>
  <c r="E12" i="1"/>
  <c r="F12" i="1"/>
  <c r="H12" i="1"/>
  <c r="I12" i="1"/>
  <c r="J12" i="1"/>
  <c r="K12" i="1"/>
  <c r="L12" i="1"/>
  <c r="M12" i="1"/>
  <c r="N12" i="1"/>
  <c r="O12" i="1"/>
  <c r="Q12" i="1"/>
  <c r="A13" i="1"/>
  <c r="B13" i="1"/>
  <c r="C13" i="1"/>
  <c r="D13" i="1"/>
  <c r="E13" i="1"/>
  <c r="F13" i="1"/>
  <c r="H13" i="1"/>
  <c r="I13" i="1"/>
  <c r="J13" i="1"/>
  <c r="K13" i="1"/>
  <c r="L13" i="1"/>
  <c r="M13" i="1"/>
  <c r="N13" i="1"/>
  <c r="O13" i="1"/>
  <c r="Q13" i="1"/>
  <c r="A14" i="1"/>
  <c r="B14" i="1"/>
  <c r="C14" i="1"/>
  <c r="D14" i="1"/>
  <c r="E14" i="1"/>
  <c r="F14" i="1"/>
  <c r="H14" i="1"/>
  <c r="I14" i="1"/>
  <c r="J14" i="1"/>
  <c r="K14" i="1"/>
  <c r="L14" i="1"/>
  <c r="M14" i="1"/>
  <c r="N14" i="1"/>
  <c r="O14" i="1"/>
  <c r="Q14" i="1"/>
  <c r="A15" i="1"/>
  <c r="B15" i="1"/>
  <c r="C15" i="1"/>
  <c r="D15" i="1"/>
  <c r="E15" i="1"/>
  <c r="F15" i="1"/>
  <c r="H15" i="1"/>
  <c r="I15" i="1"/>
  <c r="J15" i="1"/>
  <c r="K15" i="1"/>
  <c r="L15" i="1"/>
  <c r="M15" i="1"/>
  <c r="N15" i="1"/>
  <c r="O15" i="1"/>
  <c r="Q15" i="1"/>
  <c r="A16" i="1"/>
  <c r="B16" i="1"/>
  <c r="C16" i="1"/>
  <c r="D16" i="1"/>
  <c r="E16" i="1"/>
  <c r="F16" i="1"/>
  <c r="H16" i="1"/>
  <c r="I16" i="1"/>
  <c r="J16" i="1"/>
  <c r="K16" i="1"/>
  <c r="L16" i="1"/>
  <c r="M16" i="1"/>
  <c r="N16" i="1"/>
  <c r="O16" i="1"/>
  <c r="Q16" i="1"/>
  <c r="A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A18" i="1"/>
  <c r="B18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A19" i="1"/>
  <c r="B19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A20" i="1"/>
  <c r="B20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A21" i="1"/>
  <c r="B21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A22" i="1"/>
  <c r="B22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A23" i="1"/>
  <c r="B23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A24" i="1"/>
  <c r="B24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A25" i="1"/>
  <c r="B25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A26" i="1"/>
  <c r="B26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A27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A28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A29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A30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A31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A32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A33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A34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A35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A36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A37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A38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A39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A40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A41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A42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A43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A44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A45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A46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A47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A48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Q48" i="1"/>
  <c r="A49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Q49" i="1"/>
  <c r="A50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Q50" i="1"/>
  <c r="A51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Q51" i="1"/>
  <c r="A52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Q52" i="1"/>
  <c r="A53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Q53" i="1"/>
  <c r="A54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Q54" i="1"/>
  <c r="A55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Q55" i="1"/>
  <c r="A56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Q56" i="1"/>
  <c r="A57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Q57" i="1"/>
  <c r="A58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Q58" i="1"/>
  <c r="A59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Q59" i="1"/>
  <c r="A60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Q60" i="1"/>
  <c r="A61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Q61" i="1"/>
  <c r="A62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Q62" i="1"/>
  <c r="A63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Q63" i="1"/>
  <c r="A64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Q64" i="1"/>
  <c r="A65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Q65" i="1"/>
  <c r="A66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Q66" i="1"/>
  <c r="A67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Q67" i="1"/>
  <c r="A68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Q68" i="1"/>
  <c r="A69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Q69" i="1"/>
  <c r="A70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Q70" i="1"/>
  <c r="A71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Q71" i="1"/>
  <c r="A72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Q72" i="1"/>
  <c r="A73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Q73" i="1"/>
  <c r="A74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Q74" i="1"/>
  <c r="A75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Q75" i="1"/>
  <c r="A76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Q76" i="1"/>
  <c r="A77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Q77" i="1"/>
  <c r="A78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Q78" i="1"/>
  <c r="A79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Q79" i="1"/>
  <c r="A80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Q80" i="1"/>
  <c r="A81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Q81" i="1"/>
  <c r="A82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Q82" i="1"/>
  <c r="A83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Q83" i="1"/>
  <c r="A84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Q84" i="1"/>
  <c r="A85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Q85" i="1"/>
  <c r="A86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Q86" i="1"/>
  <c r="A87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Q87" i="1"/>
  <c r="A88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Q88" i="1"/>
  <c r="A89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Q89" i="1"/>
  <c r="A90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Q90" i="1"/>
  <c r="A91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Q91" i="1"/>
  <c r="A92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Q92" i="1"/>
  <c r="A93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Q93" i="1"/>
  <c r="A94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Q94" i="1"/>
  <c r="A95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Q95" i="1"/>
  <c r="A96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Q96" i="1"/>
  <c r="A97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Q97" i="1"/>
  <c r="A98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Q98" i="1"/>
  <c r="A99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Q99" i="1"/>
  <c r="A100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Q100" i="1"/>
  <c r="A101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Q101" i="1"/>
  <c r="A102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Q102" i="1"/>
  <c r="A103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Q103" i="1"/>
  <c r="A104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Q104" i="1"/>
  <c r="A105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Q105" i="1"/>
  <c r="A106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Q106" i="1"/>
  <c r="A107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Q107" i="1"/>
  <c r="A108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Q108" i="1"/>
  <c r="A109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Q109" i="1"/>
  <c r="A110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Q110" i="1"/>
  <c r="A111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Q111" i="1"/>
  <c r="A112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Q112" i="1"/>
  <c r="A113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Q113" i="1"/>
  <c r="A114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Q114" i="1"/>
  <c r="A115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Q115" i="1"/>
  <c r="A116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Q116" i="1"/>
  <c r="A117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Q117" i="1"/>
  <c r="A118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Q118" i="1"/>
  <c r="A119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Q119" i="1"/>
  <c r="A120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Q120" i="1"/>
  <c r="A121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Q121" i="1"/>
  <c r="A122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Q122" i="1"/>
  <c r="A123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Q123" i="1"/>
  <c r="A124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Q124" i="1"/>
  <c r="A125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Q125" i="1"/>
  <c r="A126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Q126" i="1"/>
  <c r="A127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Q127" i="1"/>
  <c r="A128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Q128" i="1"/>
  <c r="A129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Q129" i="1"/>
  <c r="A130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Q130" i="1"/>
  <c r="A131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Q131" i="1"/>
  <c r="A132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Q132" i="1"/>
  <c r="A133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Q133" i="1"/>
  <c r="A134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Q134" i="1"/>
  <c r="A135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Q135" i="1"/>
  <c r="A136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Q136" i="1"/>
  <c r="A137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Q137" i="1"/>
  <c r="A138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Q138" i="1"/>
  <c r="A139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Q139" i="1"/>
  <c r="A140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Q140" i="1"/>
  <c r="A141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Q141" i="1"/>
  <c r="A142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Q142" i="1"/>
  <c r="A143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Q143" i="1"/>
  <c r="A144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Q144" i="1"/>
  <c r="A145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Q145" i="1"/>
  <c r="A146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Q146" i="1"/>
  <c r="A147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Q147" i="1"/>
  <c r="A148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Q148" i="1"/>
  <c r="A149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Q149" i="1"/>
  <c r="A150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Q150" i="1"/>
  <c r="A151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Q151" i="1"/>
  <c r="A152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Q152" i="1"/>
  <c r="A153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Q153" i="1"/>
  <c r="A154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Q154" i="1"/>
  <c r="A155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Q155" i="1"/>
  <c r="A156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Q156" i="1"/>
  <c r="A157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Q157" i="1"/>
  <c r="A158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Q158" i="1"/>
  <c r="A159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Q159" i="1"/>
  <c r="A160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Q160" i="1"/>
  <c r="A161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Q161" i="1"/>
  <c r="A162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Q162" i="1"/>
  <c r="A163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Q163" i="1"/>
  <c r="A164" i="1"/>
  <c r="B164" i="1"/>
  <c r="C164" i="1"/>
  <c r="D164" i="1"/>
  <c r="E164" i="1"/>
  <c r="F164" i="1"/>
  <c r="H164" i="1"/>
  <c r="I164" i="1"/>
  <c r="J164" i="1"/>
  <c r="K164" i="1"/>
  <c r="L164" i="1"/>
  <c r="M164" i="1"/>
  <c r="N164" i="1"/>
  <c r="O164" i="1"/>
  <c r="Q164" i="1"/>
  <c r="A165" i="1"/>
  <c r="B165" i="1"/>
  <c r="C165" i="1"/>
  <c r="D165" i="1"/>
  <c r="E165" i="1"/>
  <c r="F165" i="1"/>
  <c r="H165" i="1"/>
  <c r="I165" i="1"/>
  <c r="J165" i="1"/>
  <c r="K165" i="1"/>
  <c r="L165" i="1"/>
  <c r="M165" i="1"/>
  <c r="N165" i="1"/>
  <c r="O165" i="1"/>
  <c r="Q165" i="1"/>
  <c r="A166" i="1"/>
  <c r="B166" i="1"/>
  <c r="C166" i="1"/>
  <c r="D166" i="1"/>
  <c r="E166" i="1"/>
  <c r="F166" i="1"/>
  <c r="H166" i="1"/>
  <c r="I166" i="1"/>
  <c r="J166" i="1"/>
  <c r="K166" i="1"/>
  <c r="L166" i="1"/>
  <c r="M166" i="1"/>
  <c r="N166" i="1"/>
  <c r="O166" i="1"/>
  <c r="Q166" i="1"/>
  <c r="A167" i="1"/>
  <c r="B167" i="1"/>
  <c r="C167" i="1"/>
  <c r="D167" i="1"/>
  <c r="E167" i="1"/>
  <c r="F167" i="1"/>
  <c r="H167" i="1"/>
  <c r="I167" i="1"/>
  <c r="J167" i="1"/>
  <c r="K167" i="1"/>
  <c r="L167" i="1"/>
  <c r="M167" i="1"/>
  <c r="N167" i="1"/>
  <c r="O167" i="1"/>
  <c r="Q167" i="1"/>
  <c r="A168" i="1"/>
  <c r="B168" i="1"/>
  <c r="C168" i="1"/>
  <c r="D168" i="1"/>
  <c r="E168" i="1"/>
  <c r="F168" i="1"/>
  <c r="H168" i="1"/>
  <c r="I168" i="1"/>
  <c r="J168" i="1"/>
  <c r="K168" i="1"/>
  <c r="L168" i="1"/>
  <c r="M168" i="1"/>
  <c r="N168" i="1"/>
  <c r="O168" i="1"/>
  <c r="Q168" i="1"/>
  <c r="A169" i="1"/>
  <c r="B169" i="1"/>
  <c r="C169" i="1"/>
  <c r="D169" i="1"/>
  <c r="E169" i="1"/>
  <c r="F169" i="1"/>
  <c r="H169" i="1"/>
  <c r="I169" i="1"/>
  <c r="J169" i="1"/>
  <c r="K169" i="1"/>
  <c r="L169" i="1"/>
  <c r="M169" i="1"/>
  <c r="N169" i="1"/>
  <c r="O169" i="1"/>
  <c r="Q169" i="1"/>
  <c r="A170" i="1"/>
  <c r="B170" i="1"/>
  <c r="C170" i="1"/>
  <c r="D170" i="1"/>
  <c r="E170" i="1"/>
  <c r="F170" i="1"/>
  <c r="H170" i="1"/>
  <c r="I170" i="1"/>
  <c r="J170" i="1"/>
  <c r="K170" i="1"/>
  <c r="L170" i="1"/>
  <c r="M170" i="1"/>
  <c r="N170" i="1"/>
  <c r="O170" i="1"/>
  <c r="Q170" i="1"/>
  <c r="A171" i="1"/>
  <c r="B171" i="1"/>
  <c r="C171" i="1"/>
  <c r="D171" i="1"/>
  <c r="E171" i="1"/>
  <c r="F171" i="1"/>
  <c r="H171" i="1"/>
  <c r="I171" i="1"/>
  <c r="J171" i="1"/>
  <c r="K171" i="1"/>
  <c r="L171" i="1"/>
  <c r="M171" i="1"/>
  <c r="N171" i="1"/>
  <c r="O171" i="1"/>
  <c r="Q171" i="1"/>
  <c r="A172" i="1"/>
  <c r="B172" i="1"/>
  <c r="C172" i="1"/>
  <c r="D172" i="1"/>
  <c r="E172" i="1"/>
  <c r="F172" i="1"/>
  <c r="H172" i="1"/>
  <c r="I172" i="1"/>
  <c r="J172" i="1"/>
  <c r="K172" i="1"/>
  <c r="L172" i="1"/>
  <c r="M172" i="1"/>
  <c r="N172" i="1"/>
  <c r="O172" i="1"/>
  <c r="Q172" i="1"/>
  <c r="A173" i="1"/>
  <c r="B173" i="1"/>
  <c r="C173" i="1"/>
  <c r="D173" i="1"/>
  <c r="E173" i="1"/>
  <c r="F173" i="1"/>
  <c r="H173" i="1"/>
  <c r="I173" i="1"/>
  <c r="J173" i="1"/>
  <c r="K173" i="1"/>
  <c r="L173" i="1"/>
  <c r="M173" i="1"/>
  <c r="N173" i="1"/>
  <c r="O173" i="1"/>
  <c r="Q173" i="1"/>
  <c r="A174" i="1"/>
  <c r="B174" i="1"/>
  <c r="C174" i="1"/>
  <c r="D174" i="1"/>
  <c r="E174" i="1"/>
  <c r="F174" i="1"/>
  <c r="H174" i="1"/>
  <c r="I174" i="1"/>
  <c r="J174" i="1"/>
  <c r="K174" i="1"/>
  <c r="L174" i="1"/>
  <c r="M174" i="1"/>
  <c r="N174" i="1"/>
  <c r="O174" i="1"/>
  <c r="Q174" i="1"/>
  <c r="A175" i="1"/>
  <c r="B175" i="1"/>
  <c r="C175" i="1"/>
  <c r="D175" i="1"/>
  <c r="E175" i="1"/>
  <c r="F175" i="1"/>
  <c r="H175" i="1"/>
  <c r="I175" i="1"/>
  <c r="J175" i="1"/>
  <c r="K175" i="1"/>
  <c r="L175" i="1"/>
  <c r="M175" i="1"/>
  <c r="N175" i="1"/>
  <c r="O175" i="1"/>
  <c r="Q175" i="1"/>
  <c r="A176" i="1"/>
  <c r="B176" i="1"/>
  <c r="C176" i="1"/>
  <c r="D176" i="1"/>
  <c r="E176" i="1"/>
  <c r="F176" i="1"/>
  <c r="H176" i="1"/>
  <c r="I176" i="1"/>
  <c r="J176" i="1"/>
  <c r="K176" i="1"/>
  <c r="L176" i="1"/>
  <c r="M176" i="1"/>
  <c r="N176" i="1"/>
  <c r="O176" i="1"/>
  <c r="Q176" i="1"/>
  <c r="A177" i="1"/>
  <c r="B177" i="1"/>
  <c r="C177" i="1"/>
  <c r="D177" i="1"/>
  <c r="E177" i="1"/>
  <c r="F177" i="1"/>
  <c r="H177" i="1"/>
  <c r="I177" i="1"/>
  <c r="J177" i="1"/>
  <c r="K177" i="1"/>
  <c r="L177" i="1"/>
  <c r="M177" i="1"/>
  <c r="N177" i="1"/>
  <c r="O177" i="1"/>
  <c r="Q177" i="1"/>
  <c r="A178" i="1"/>
  <c r="B178" i="1"/>
  <c r="C178" i="1"/>
  <c r="D178" i="1"/>
  <c r="E178" i="1"/>
  <c r="F178" i="1"/>
  <c r="H178" i="1"/>
  <c r="I178" i="1"/>
  <c r="J178" i="1"/>
  <c r="K178" i="1"/>
  <c r="L178" i="1"/>
  <c r="M178" i="1"/>
  <c r="N178" i="1"/>
  <c r="O178" i="1"/>
  <c r="Q178" i="1"/>
  <c r="A179" i="1"/>
  <c r="B179" i="1"/>
  <c r="C179" i="1"/>
  <c r="D179" i="1"/>
  <c r="E179" i="1"/>
  <c r="F179" i="1"/>
  <c r="H179" i="1"/>
  <c r="I179" i="1"/>
  <c r="J179" i="1"/>
  <c r="K179" i="1"/>
  <c r="L179" i="1"/>
  <c r="M179" i="1"/>
  <c r="N179" i="1"/>
  <c r="O179" i="1"/>
  <c r="Q179" i="1"/>
  <c r="A180" i="1"/>
  <c r="B180" i="1"/>
  <c r="C180" i="1"/>
  <c r="D180" i="1"/>
  <c r="E180" i="1"/>
  <c r="F180" i="1"/>
  <c r="H180" i="1"/>
  <c r="I180" i="1"/>
  <c r="J180" i="1"/>
  <c r="K180" i="1"/>
  <c r="L180" i="1"/>
  <c r="M180" i="1"/>
  <c r="N180" i="1"/>
  <c r="O180" i="1"/>
  <c r="Q180" i="1"/>
  <c r="A181" i="1"/>
  <c r="B181" i="1"/>
  <c r="C181" i="1"/>
  <c r="D181" i="1"/>
  <c r="E181" i="1"/>
  <c r="F181" i="1"/>
  <c r="H181" i="1"/>
  <c r="I181" i="1"/>
  <c r="J181" i="1"/>
  <c r="K181" i="1"/>
  <c r="L181" i="1"/>
  <c r="M181" i="1"/>
  <c r="N181" i="1"/>
  <c r="O181" i="1"/>
  <c r="Q181" i="1"/>
  <c r="A182" i="1"/>
  <c r="B182" i="1"/>
  <c r="C182" i="1"/>
  <c r="D182" i="1"/>
  <c r="E182" i="1"/>
  <c r="F182" i="1"/>
  <c r="H182" i="1"/>
  <c r="I182" i="1"/>
  <c r="J182" i="1"/>
  <c r="K182" i="1"/>
  <c r="L182" i="1"/>
  <c r="M182" i="1"/>
  <c r="N182" i="1"/>
  <c r="O182" i="1"/>
  <c r="Q182" i="1"/>
  <c r="A183" i="1"/>
  <c r="B183" i="1"/>
  <c r="C183" i="1"/>
  <c r="D183" i="1"/>
  <c r="E183" i="1"/>
  <c r="F183" i="1"/>
  <c r="H183" i="1"/>
  <c r="I183" i="1"/>
  <c r="J183" i="1"/>
  <c r="K183" i="1"/>
  <c r="L183" i="1"/>
  <c r="M183" i="1"/>
  <c r="N183" i="1"/>
  <c r="O183" i="1"/>
  <c r="Q183" i="1"/>
  <c r="A184" i="1"/>
  <c r="B184" i="1"/>
  <c r="C184" i="1"/>
  <c r="D184" i="1"/>
  <c r="E184" i="1"/>
  <c r="F184" i="1"/>
  <c r="H184" i="1"/>
  <c r="I184" i="1"/>
  <c r="J184" i="1"/>
  <c r="K184" i="1"/>
  <c r="L184" i="1"/>
  <c r="M184" i="1"/>
  <c r="N184" i="1"/>
  <c r="O184" i="1"/>
  <c r="Q184" i="1"/>
  <c r="A185" i="1"/>
  <c r="B185" i="1"/>
  <c r="C185" i="1"/>
  <c r="D185" i="1"/>
  <c r="E185" i="1"/>
  <c r="F185" i="1"/>
  <c r="H185" i="1"/>
  <c r="I185" i="1"/>
  <c r="J185" i="1"/>
  <c r="K185" i="1"/>
  <c r="L185" i="1"/>
  <c r="M185" i="1"/>
  <c r="N185" i="1"/>
  <c r="O185" i="1"/>
  <c r="Q185" i="1"/>
  <c r="A186" i="1"/>
  <c r="B186" i="1"/>
  <c r="C186" i="1"/>
  <c r="D186" i="1"/>
  <c r="E186" i="1"/>
  <c r="F186" i="1"/>
  <c r="H186" i="1"/>
  <c r="I186" i="1"/>
  <c r="J186" i="1"/>
  <c r="K186" i="1"/>
  <c r="L186" i="1"/>
  <c r="M186" i="1"/>
  <c r="N186" i="1"/>
  <c r="O186" i="1"/>
  <c r="Q186" i="1"/>
  <c r="A187" i="1"/>
  <c r="B187" i="1"/>
  <c r="C187" i="1"/>
  <c r="D187" i="1"/>
  <c r="E187" i="1"/>
  <c r="F187" i="1"/>
  <c r="H187" i="1"/>
  <c r="I187" i="1"/>
  <c r="J187" i="1"/>
  <c r="K187" i="1"/>
  <c r="L187" i="1"/>
  <c r="M187" i="1"/>
  <c r="N187" i="1"/>
  <c r="O187" i="1"/>
  <c r="Q187" i="1"/>
  <c r="A188" i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Q188" i="1"/>
  <c r="A189" i="1"/>
  <c r="B189" i="1"/>
  <c r="C189" i="1"/>
  <c r="D189" i="1"/>
  <c r="E189" i="1"/>
  <c r="F189" i="1"/>
  <c r="H189" i="1"/>
  <c r="I189" i="1"/>
  <c r="J189" i="1"/>
  <c r="K189" i="1"/>
  <c r="L189" i="1"/>
  <c r="M189" i="1"/>
  <c r="N189" i="1"/>
  <c r="O189" i="1"/>
  <c r="Q189" i="1"/>
  <c r="A190" i="1"/>
  <c r="B190" i="1"/>
  <c r="C190" i="1"/>
  <c r="D190" i="1"/>
  <c r="E190" i="1"/>
  <c r="F190" i="1"/>
  <c r="H190" i="1"/>
  <c r="I190" i="1"/>
  <c r="J190" i="1"/>
  <c r="K190" i="1"/>
  <c r="L190" i="1"/>
  <c r="M190" i="1"/>
  <c r="N190" i="1"/>
  <c r="O190" i="1"/>
  <c r="Q190" i="1"/>
  <c r="A191" i="1"/>
  <c r="B191" i="1"/>
  <c r="C191" i="1"/>
  <c r="D191" i="1"/>
  <c r="E191" i="1"/>
  <c r="F191" i="1"/>
  <c r="H191" i="1"/>
  <c r="I191" i="1"/>
  <c r="J191" i="1"/>
  <c r="K191" i="1"/>
  <c r="L191" i="1"/>
  <c r="M191" i="1"/>
  <c r="N191" i="1"/>
  <c r="O191" i="1"/>
  <c r="Q191" i="1"/>
  <c r="A192" i="1"/>
  <c r="B192" i="1"/>
  <c r="C192" i="1"/>
  <c r="D192" i="1"/>
  <c r="E192" i="1"/>
  <c r="F192" i="1"/>
  <c r="H192" i="1"/>
  <c r="I192" i="1"/>
  <c r="J192" i="1"/>
  <c r="K192" i="1"/>
  <c r="L192" i="1"/>
  <c r="M192" i="1"/>
  <c r="N192" i="1"/>
  <c r="O192" i="1"/>
  <c r="Q192" i="1"/>
  <c r="A193" i="1"/>
  <c r="B193" i="1"/>
  <c r="C193" i="1"/>
  <c r="D193" i="1"/>
  <c r="E193" i="1"/>
  <c r="F193" i="1"/>
  <c r="H193" i="1"/>
  <c r="I193" i="1"/>
  <c r="J193" i="1"/>
  <c r="K193" i="1"/>
  <c r="L193" i="1"/>
  <c r="M193" i="1"/>
  <c r="N193" i="1"/>
  <c r="O193" i="1"/>
  <c r="Q193" i="1"/>
  <c r="A194" i="1"/>
  <c r="B194" i="1"/>
  <c r="C194" i="1"/>
  <c r="D194" i="1"/>
  <c r="E194" i="1"/>
  <c r="F194" i="1"/>
  <c r="H194" i="1"/>
  <c r="I194" i="1"/>
  <c r="J194" i="1"/>
  <c r="K194" i="1"/>
  <c r="L194" i="1"/>
  <c r="M194" i="1"/>
  <c r="N194" i="1"/>
  <c r="O194" i="1"/>
  <c r="Q194" i="1"/>
  <c r="A195" i="1"/>
  <c r="B195" i="1"/>
  <c r="C195" i="1"/>
  <c r="D195" i="1"/>
  <c r="E195" i="1"/>
  <c r="F195" i="1"/>
  <c r="H195" i="1"/>
  <c r="I195" i="1"/>
  <c r="J195" i="1"/>
  <c r="K195" i="1"/>
  <c r="L195" i="1"/>
  <c r="M195" i="1"/>
  <c r="N195" i="1"/>
  <c r="O195" i="1"/>
  <c r="Q195" i="1"/>
  <c r="A196" i="1"/>
  <c r="B196" i="1"/>
  <c r="C196" i="1"/>
  <c r="D196" i="1"/>
  <c r="E196" i="1"/>
  <c r="F196" i="1"/>
  <c r="H196" i="1"/>
  <c r="I196" i="1"/>
  <c r="J196" i="1"/>
  <c r="K196" i="1"/>
  <c r="L196" i="1"/>
  <c r="M196" i="1"/>
  <c r="N196" i="1"/>
  <c r="O196" i="1"/>
  <c r="Q196" i="1"/>
  <c r="A197" i="1"/>
  <c r="B197" i="1"/>
  <c r="C197" i="1"/>
  <c r="D197" i="1"/>
  <c r="E197" i="1"/>
  <c r="F197" i="1"/>
  <c r="H197" i="1"/>
  <c r="I197" i="1"/>
  <c r="J197" i="1"/>
  <c r="K197" i="1"/>
  <c r="L197" i="1"/>
  <c r="M197" i="1"/>
  <c r="N197" i="1"/>
  <c r="O197" i="1"/>
  <c r="Q197" i="1"/>
  <c r="A198" i="1"/>
  <c r="B198" i="1"/>
  <c r="C198" i="1"/>
  <c r="D198" i="1"/>
  <c r="E198" i="1"/>
  <c r="F198" i="1"/>
  <c r="H198" i="1"/>
  <c r="I198" i="1"/>
  <c r="J198" i="1"/>
  <c r="K198" i="1"/>
  <c r="L198" i="1"/>
  <c r="M198" i="1"/>
  <c r="N198" i="1"/>
  <c r="O198" i="1"/>
  <c r="Q198" i="1"/>
  <c r="A199" i="1"/>
  <c r="B199" i="1"/>
  <c r="C199" i="1"/>
  <c r="D199" i="1"/>
  <c r="E199" i="1"/>
  <c r="F199" i="1"/>
  <c r="H199" i="1"/>
  <c r="I199" i="1"/>
  <c r="J199" i="1"/>
  <c r="K199" i="1"/>
  <c r="L199" i="1"/>
  <c r="M199" i="1"/>
  <c r="N199" i="1"/>
  <c r="O199" i="1"/>
  <c r="Q199" i="1"/>
  <c r="A200" i="1"/>
  <c r="B200" i="1"/>
  <c r="C200" i="1"/>
  <c r="D200" i="1"/>
  <c r="E200" i="1"/>
  <c r="F200" i="1"/>
  <c r="H200" i="1"/>
  <c r="I200" i="1"/>
  <c r="J200" i="1"/>
  <c r="K200" i="1"/>
  <c r="L200" i="1"/>
  <c r="M200" i="1"/>
  <c r="N200" i="1"/>
  <c r="O200" i="1"/>
  <c r="Q200" i="1"/>
  <c r="A201" i="1"/>
  <c r="B201" i="1"/>
  <c r="C201" i="1"/>
  <c r="D201" i="1"/>
  <c r="E201" i="1"/>
  <c r="F201" i="1"/>
  <c r="H201" i="1"/>
  <c r="I201" i="1"/>
  <c r="J201" i="1"/>
  <c r="K201" i="1"/>
  <c r="L201" i="1"/>
  <c r="M201" i="1"/>
  <c r="N201" i="1"/>
  <c r="O201" i="1"/>
  <c r="Q201" i="1"/>
  <c r="A202" i="1"/>
  <c r="B202" i="1"/>
  <c r="C202" i="1"/>
  <c r="D202" i="1"/>
  <c r="E202" i="1"/>
  <c r="F202" i="1"/>
  <c r="H202" i="1"/>
  <c r="I202" i="1"/>
  <c r="J202" i="1"/>
  <c r="K202" i="1"/>
  <c r="L202" i="1"/>
  <c r="M202" i="1"/>
  <c r="N202" i="1"/>
  <c r="O202" i="1"/>
  <c r="Q202" i="1"/>
  <c r="A203" i="1"/>
  <c r="B203" i="1"/>
  <c r="C203" i="1"/>
  <c r="D203" i="1"/>
  <c r="E203" i="1"/>
  <c r="F203" i="1"/>
  <c r="H203" i="1"/>
  <c r="I203" i="1"/>
  <c r="J203" i="1"/>
  <c r="K203" i="1"/>
  <c r="L203" i="1"/>
  <c r="M203" i="1"/>
  <c r="N203" i="1"/>
  <c r="O203" i="1"/>
  <c r="Q203" i="1"/>
  <c r="A204" i="1"/>
  <c r="B204" i="1"/>
  <c r="C204" i="1"/>
  <c r="D204" i="1"/>
  <c r="E204" i="1"/>
  <c r="F204" i="1"/>
  <c r="H204" i="1"/>
  <c r="I204" i="1"/>
  <c r="J204" i="1"/>
  <c r="K204" i="1"/>
  <c r="L204" i="1"/>
  <c r="M204" i="1"/>
  <c r="N204" i="1"/>
  <c r="O204" i="1"/>
  <c r="Q204" i="1"/>
  <c r="A205" i="1"/>
  <c r="B205" i="1"/>
  <c r="C205" i="1"/>
  <c r="D205" i="1"/>
  <c r="E205" i="1"/>
  <c r="F205" i="1"/>
  <c r="H205" i="1"/>
  <c r="I205" i="1"/>
  <c r="J205" i="1"/>
  <c r="K205" i="1"/>
  <c r="L205" i="1"/>
  <c r="M205" i="1"/>
  <c r="N205" i="1"/>
  <c r="O205" i="1"/>
  <c r="Q205" i="1"/>
  <c r="A206" i="1"/>
  <c r="B206" i="1"/>
  <c r="C206" i="1"/>
  <c r="D206" i="1"/>
  <c r="E206" i="1"/>
  <c r="F206" i="1"/>
  <c r="H206" i="1"/>
  <c r="I206" i="1"/>
  <c r="J206" i="1"/>
  <c r="K206" i="1"/>
  <c r="L206" i="1"/>
  <c r="M206" i="1"/>
  <c r="N206" i="1"/>
  <c r="O206" i="1"/>
  <c r="Q206" i="1"/>
  <c r="A207" i="1"/>
  <c r="B207" i="1"/>
  <c r="C207" i="1"/>
  <c r="D207" i="1"/>
  <c r="E207" i="1"/>
  <c r="F207" i="1"/>
  <c r="H207" i="1"/>
  <c r="I207" i="1"/>
  <c r="J207" i="1"/>
  <c r="K207" i="1"/>
  <c r="L207" i="1"/>
  <c r="M207" i="1"/>
  <c r="N207" i="1"/>
  <c r="O207" i="1"/>
  <c r="Q207" i="1"/>
  <c r="A208" i="1"/>
  <c r="B208" i="1"/>
  <c r="C208" i="1"/>
  <c r="D208" i="1"/>
  <c r="E208" i="1"/>
  <c r="F208" i="1"/>
  <c r="H208" i="1"/>
  <c r="I208" i="1"/>
  <c r="J208" i="1"/>
  <c r="K208" i="1"/>
  <c r="L208" i="1"/>
  <c r="M208" i="1"/>
  <c r="N208" i="1"/>
  <c r="O208" i="1"/>
  <c r="Q208" i="1"/>
  <c r="A209" i="1"/>
  <c r="B209" i="1"/>
  <c r="C209" i="1"/>
  <c r="D209" i="1"/>
  <c r="E209" i="1"/>
  <c r="F209" i="1"/>
  <c r="H209" i="1"/>
  <c r="I209" i="1"/>
  <c r="J209" i="1"/>
  <c r="K209" i="1"/>
  <c r="L209" i="1"/>
  <c r="M209" i="1"/>
  <c r="N209" i="1"/>
  <c r="O209" i="1"/>
  <c r="Q209" i="1"/>
  <c r="A210" i="1"/>
  <c r="B210" i="1"/>
  <c r="C210" i="1"/>
  <c r="D210" i="1"/>
  <c r="E210" i="1"/>
  <c r="F210" i="1"/>
  <c r="H210" i="1"/>
  <c r="I210" i="1"/>
  <c r="J210" i="1"/>
  <c r="K210" i="1"/>
  <c r="L210" i="1"/>
  <c r="M210" i="1"/>
  <c r="N210" i="1"/>
  <c r="O210" i="1"/>
  <c r="Q210" i="1"/>
  <c r="A211" i="1"/>
  <c r="B211" i="1"/>
  <c r="C211" i="1"/>
  <c r="D211" i="1"/>
  <c r="E211" i="1"/>
  <c r="F211" i="1"/>
  <c r="H211" i="1"/>
  <c r="I211" i="1"/>
  <c r="J211" i="1"/>
  <c r="K211" i="1"/>
  <c r="L211" i="1"/>
  <c r="M211" i="1"/>
  <c r="N211" i="1"/>
  <c r="O211" i="1"/>
  <c r="Q211" i="1"/>
  <c r="A212" i="1"/>
  <c r="B212" i="1"/>
  <c r="C212" i="1"/>
  <c r="D212" i="1"/>
  <c r="E212" i="1"/>
  <c r="F212" i="1"/>
  <c r="H212" i="1"/>
  <c r="I212" i="1"/>
  <c r="J212" i="1"/>
  <c r="K212" i="1"/>
  <c r="L212" i="1"/>
  <c r="M212" i="1"/>
  <c r="N212" i="1"/>
  <c r="O212" i="1"/>
  <c r="Q212" i="1"/>
  <c r="A213" i="1"/>
  <c r="B213" i="1"/>
  <c r="C213" i="1"/>
  <c r="D213" i="1"/>
  <c r="E213" i="1"/>
  <c r="F213" i="1"/>
  <c r="H213" i="1"/>
  <c r="I213" i="1"/>
  <c r="J213" i="1"/>
  <c r="K213" i="1"/>
  <c r="L213" i="1"/>
  <c r="M213" i="1"/>
  <c r="N213" i="1"/>
  <c r="O213" i="1"/>
  <c r="Q213" i="1"/>
  <c r="A214" i="1"/>
  <c r="B214" i="1"/>
  <c r="C214" i="1"/>
  <c r="D214" i="1"/>
  <c r="E214" i="1"/>
  <c r="F214" i="1"/>
  <c r="H214" i="1"/>
  <c r="I214" i="1"/>
  <c r="J214" i="1"/>
  <c r="K214" i="1"/>
  <c r="L214" i="1"/>
  <c r="M214" i="1"/>
  <c r="N214" i="1"/>
  <c r="O214" i="1"/>
  <c r="Q214" i="1"/>
  <c r="A215" i="1"/>
  <c r="B215" i="1"/>
  <c r="C215" i="1"/>
  <c r="D215" i="1"/>
  <c r="E215" i="1"/>
  <c r="F215" i="1"/>
  <c r="H215" i="1"/>
  <c r="I215" i="1"/>
  <c r="J215" i="1"/>
  <c r="K215" i="1"/>
  <c r="L215" i="1"/>
  <c r="M215" i="1"/>
  <c r="N215" i="1"/>
  <c r="O215" i="1"/>
  <c r="Q215" i="1"/>
  <c r="A216" i="1"/>
  <c r="B216" i="1"/>
  <c r="C216" i="1"/>
  <c r="D216" i="1"/>
  <c r="E216" i="1"/>
  <c r="F216" i="1"/>
  <c r="H216" i="1"/>
  <c r="I216" i="1"/>
  <c r="J216" i="1"/>
  <c r="K216" i="1"/>
  <c r="L216" i="1"/>
  <c r="M216" i="1"/>
  <c r="N216" i="1"/>
  <c r="O216" i="1"/>
  <c r="Q216" i="1"/>
  <c r="A217" i="1"/>
  <c r="B217" i="1"/>
  <c r="C217" i="1"/>
  <c r="D217" i="1"/>
  <c r="E217" i="1"/>
  <c r="F217" i="1"/>
  <c r="H217" i="1"/>
  <c r="I217" i="1"/>
  <c r="J217" i="1"/>
  <c r="K217" i="1"/>
  <c r="L217" i="1"/>
  <c r="M217" i="1"/>
  <c r="N217" i="1"/>
  <c r="O217" i="1"/>
  <c r="Q217" i="1"/>
  <c r="A218" i="1"/>
  <c r="B218" i="1"/>
  <c r="C218" i="1"/>
  <c r="D218" i="1"/>
  <c r="E218" i="1"/>
  <c r="F218" i="1"/>
  <c r="H218" i="1"/>
  <c r="I218" i="1"/>
  <c r="J218" i="1"/>
  <c r="K218" i="1"/>
  <c r="L218" i="1"/>
  <c r="M218" i="1"/>
  <c r="N218" i="1"/>
  <c r="O218" i="1"/>
  <c r="Q218" i="1"/>
  <c r="A219" i="1"/>
  <c r="B219" i="1"/>
  <c r="C219" i="1"/>
  <c r="D219" i="1"/>
  <c r="E219" i="1"/>
  <c r="F219" i="1"/>
  <c r="H219" i="1"/>
  <c r="I219" i="1"/>
  <c r="J219" i="1"/>
  <c r="K219" i="1"/>
  <c r="L219" i="1"/>
  <c r="M219" i="1"/>
  <c r="N219" i="1"/>
  <c r="O219" i="1"/>
  <c r="Q219" i="1"/>
  <c r="A220" i="1"/>
  <c r="B220" i="1"/>
  <c r="C220" i="1"/>
  <c r="D220" i="1"/>
  <c r="E220" i="1"/>
  <c r="F220" i="1"/>
  <c r="H220" i="1"/>
  <c r="I220" i="1"/>
  <c r="J220" i="1"/>
  <c r="K220" i="1"/>
  <c r="L220" i="1"/>
  <c r="M220" i="1"/>
  <c r="N220" i="1"/>
  <c r="O220" i="1"/>
  <c r="Q220" i="1"/>
  <c r="A221" i="1"/>
  <c r="B221" i="1"/>
  <c r="C221" i="1"/>
  <c r="D221" i="1"/>
  <c r="E221" i="1"/>
  <c r="F221" i="1"/>
  <c r="H221" i="1"/>
  <c r="I221" i="1"/>
  <c r="J221" i="1"/>
  <c r="K221" i="1"/>
  <c r="L221" i="1"/>
  <c r="M221" i="1"/>
  <c r="N221" i="1"/>
  <c r="O221" i="1"/>
  <c r="Q221" i="1"/>
  <c r="A222" i="1"/>
  <c r="B222" i="1"/>
  <c r="C222" i="1"/>
  <c r="D222" i="1"/>
  <c r="E222" i="1"/>
  <c r="F222" i="1"/>
  <c r="H222" i="1"/>
  <c r="I222" i="1"/>
  <c r="J222" i="1"/>
  <c r="K222" i="1"/>
  <c r="L222" i="1"/>
  <c r="M222" i="1"/>
  <c r="N222" i="1"/>
  <c r="O222" i="1"/>
  <c r="Q222" i="1"/>
  <c r="A223" i="1"/>
  <c r="B223" i="1"/>
  <c r="C223" i="1"/>
  <c r="D223" i="1"/>
  <c r="E223" i="1"/>
  <c r="F223" i="1"/>
  <c r="H223" i="1"/>
  <c r="I223" i="1"/>
  <c r="J223" i="1"/>
  <c r="K223" i="1"/>
  <c r="L223" i="1"/>
  <c r="M223" i="1"/>
  <c r="N223" i="1"/>
  <c r="O223" i="1"/>
  <c r="Q223" i="1"/>
  <c r="A224" i="1"/>
  <c r="B224" i="1"/>
  <c r="C224" i="1"/>
  <c r="D224" i="1"/>
  <c r="E224" i="1"/>
  <c r="F224" i="1"/>
  <c r="H224" i="1"/>
  <c r="I224" i="1"/>
  <c r="J224" i="1"/>
  <c r="K224" i="1"/>
  <c r="L224" i="1"/>
  <c r="M224" i="1"/>
  <c r="N224" i="1"/>
  <c r="O224" i="1"/>
  <c r="Q224" i="1"/>
  <c r="A225" i="1"/>
  <c r="B225" i="1"/>
  <c r="C225" i="1"/>
  <c r="D225" i="1"/>
  <c r="E225" i="1"/>
  <c r="F225" i="1"/>
  <c r="H225" i="1"/>
  <c r="I225" i="1"/>
  <c r="J225" i="1"/>
  <c r="K225" i="1"/>
  <c r="L225" i="1"/>
  <c r="M225" i="1"/>
  <c r="N225" i="1"/>
  <c r="O225" i="1"/>
  <c r="Q225" i="1"/>
  <c r="A226" i="1"/>
  <c r="B226" i="1"/>
  <c r="C226" i="1"/>
  <c r="D226" i="1"/>
  <c r="E226" i="1"/>
  <c r="F226" i="1"/>
  <c r="H226" i="1"/>
  <c r="I226" i="1"/>
  <c r="J226" i="1"/>
  <c r="K226" i="1"/>
  <c r="L226" i="1"/>
  <c r="M226" i="1"/>
  <c r="N226" i="1"/>
  <c r="O226" i="1"/>
  <c r="Q226" i="1"/>
  <c r="A227" i="1"/>
  <c r="B227" i="1"/>
  <c r="C227" i="1"/>
  <c r="D227" i="1"/>
  <c r="E227" i="1"/>
  <c r="F227" i="1"/>
  <c r="H227" i="1"/>
  <c r="I227" i="1"/>
  <c r="J227" i="1"/>
  <c r="K227" i="1"/>
  <c r="L227" i="1"/>
  <c r="M227" i="1"/>
  <c r="N227" i="1"/>
  <c r="O227" i="1"/>
  <c r="Q227" i="1"/>
  <c r="A228" i="1"/>
  <c r="B228" i="1"/>
  <c r="C228" i="1"/>
  <c r="D228" i="1"/>
  <c r="E228" i="1"/>
  <c r="F228" i="1"/>
  <c r="H228" i="1"/>
  <c r="I228" i="1"/>
  <c r="J228" i="1"/>
  <c r="K228" i="1"/>
  <c r="L228" i="1"/>
  <c r="M228" i="1"/>
  <c r="N228" i="1"/>
  <c r="O228" i="1"/>
  <c r="Q228" i="1"/>
  <c r="A229" i="1"/>
  <c r="B229" i="1"/>
  <c r="C229" i="1"/>
  <c r="D229" i="1"/>
  <c r="E229" i="1"/>
  <c r="F229" i="1"/>
  <c r="H229" i="1"/>
  <c r="I229" i="1"/>
  <c r="J229" i="1"/>
  <c r="K229" i="1"/>
  <c r="L229" i="1"/>
  <c r="M229" i="1"/>
  <c r="N229" i="1"/>
  <c r="O229" i="1"/>
  <c r="Q229" i="1"/>
  <c r="A230" i="1"/>
  <c r="B230" i="1"/>
  <c r="C230" i="1"/>
  <c r="D230" i="1"/>
  <c r="E230" i="1"/>
  <c r="F230" i="1"/>
  <c r="H230" i="1"/>
  <c r="I230" i="1"/>
  <c r="J230" i="1"/>
  <c r="K230" i="1"/>
  <c r="L230" i="1"/>
  <c r="M230" i="1"/>
  <c r="N230" i="1"/>
  <c r="O230" i="1"/>
  <c r="Q230" i="1"/>
  <c r="A231" i="1"/>
  <c r="B231" i="1"/>
  <c r="C231" i="1"/>
  <c r="D231" i="1"/>
  <c r="E231" i="1"/>
  <c r="F231" i="1"/>
  <c r="H231" i="1"/>
  <c r="I231" i="1"/>
  <c r="J231" i="1"/>
  <c r="K231" i="1"/>
  <c r="L231" i="1"/>
  <c r="M231" i="1"/>
  <c r="N231" i="1"/>
  <c r="O231" i="1"/>
  <c r="Q231" i="1"/>
  <c r="A232" i="1"/>
  <c r="B232" i="1"/>
  <c r="C232" i="1"/>
  <c r="D232" i="1"/>
  <c r="E232" i="1"/>
  <c r="F232" i="1"/>
  <c r="H232" i="1"/>
  <c r="I232" i="1"/>
  <c r="J232" i="1"/>
  <c r="K232" i="1"/>
  <c r="L232" i="1"/>
  <c r="M232" i="1"/>
  <c r="N232" i="1"/>
  <c r="O232" i="1"/>
  <c r="Q232" i="1"/>
  <c r="A233" i="1"/>
  <c r="B233" i="1"/>
  <c r="C233" i="1"/>
  <c r="D233" i="1"/>
  <c r="E233" i="1"/>
  <c r="F233" i="1"/>
  <c r="H233" i="1"/>
  <c r="I233" i="1"/>
  <c r="J233" i="1"/>
  <c r="K233" i="1"/>
  <c r="L233" i="1"/>
  <c r="M233" i="1"/>
  <c r="N233" i="1"/>
  <c r="O233" i="1"/>
  <c r="Q233" i="1"/>
  <c r="A234" i="1"/>
  <c r="B234" i="1"/>
  <c r="C234" i="1"/>
  <c r="D234" i="1"/>
  <c r="E234" i="1"/>
  <c r="F234" i="1"/>
  <c r="H234" i="1"/>
  <c r="I234" i="1"/>
  <c r="J234" i="1"/>
  <c r="K234" i="1"/>
  <c r="L234" i="1"/>
  <c r="M234" i="1"/>
  <c r="N234" i="1"/>
  <c r="O234" i="1"/>
  <c r="Q234" i="1"/>
  <c r="A235" i="1"/>
  <c r="B235" i="1"/>
  <c r="C235" i="1"/>
  <c r="D235" i="1"/>
  <c r="E235" i="1"/>
  <c r="F235" i="1"/>
  <c r="H235" i="1"/>
  <c r="I235" i="1"/>
  <c r="J235" i="1"/>
  <c r="K235" i="1"/>
  <c r="L235" i="1"/>
  <c r="M235" i="1"/>
  <c r="N235" i="1"/>
  <c r="O235" i="1"/>
  <c r="Q235" i="1"/>
  <c r="A236" i="1"/>
  <c r="B236" i="1"/>
  <c r="C236" i="1"/>
  <c r="D236" i="1"/>
  <c r="E236" i="1"/>
  <c r="F236" i="1"/>
  <c r="H236" i="1"/>
  <c r="I236" i="1"/>
  <c r="J236" i="1"/>
  <c r="K236" i="1"/>
  <c r="L236" i="1"/>
  <c r="M236" i="1"/>
  <c r="N236" i="1"/>
  <c r="O236" i="1"/>
  <c r="Q236" i="1"/>
  <c r="A237" i="1"/>
  <c r="B237" i="1"/>
  <c r="C237" i="1"/>
  <c r="D237" i="1"/>
  <c r="E237" i="1"/>
  <c r="F237" i="1"/>
  <c r="H237" i="1"/>
  <c r="I237" i="1"/>
  <c r="J237" i="1"/>
  <c r="K237" i="1"/>
  <c r="L237" i="1"/>
  <c r="M237" i="1"/>
  <c r="N237" i="1"/>
  <c r="O237" i="1"/>
  <c r="Q237" i="1"/>
  <c r="A238" i="1"/>
  <c r="B238" i="1"/>
  <c r="C238" i="1"/>
  <c r="D238" i="1"/>
  <c r="E238" i="1"/>
  <c r="F238" i="1"/>
  <c r="H238" i="1"/>
  <c r="I238" i="1"/>
  <c r="J238" i="1"/>
  <c r="K238" i="1"/>
  <c r="L238" i="1"/>
  <c r="M238" i="1"/>
  <c r="N238" i="1"/>
  <c r="O238" i="1"/>
  <c r="Q238" i="1"/>
  <c r="A239" i="1"/>
  <c r="B239" i="1"/>
  <c r="C239" i="1"/>
  <c r="D239" i="1"/>
  <c r="E239" i="1"/>
  <c r="F239" i="1"/>
  <c r="H239" i="1"/>
  <c r="I239" i="1"/>
  <c r="J239" i="1"/>
  <c r="K239" i="1"/>
  <c r="L239" i="1"/>
  <c r="M239" i="1"/>
  <c r="N239" i="1"/>
  <c r="O239" i="1"/>
  <c r="Q239" i="1"/>
  <c r="A240" i="1"/>
  <c r="B240" i="1"/>
  <c r="C240" i="1"/>
  <c r="D240" i="1"/>
  <c r="E240" i="1"/>
  <c r="F240" i="1"/>
  <c r="H240" i="1"/>
  <c r="I240" i="1"/>
  <c r="J240" i="1"/>
  <c r="K240" i="1"/>
  <c r="L240" i="1"/>
  <c r="M240" i="1"/>
  <c r="N240" i="1"/>
  <c r="O240" i="1"/>
  <c r="Q240" i="1"/>
  <c r="A241" i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Q241" i="1"/>
  <c r="A242" i="1"/>
  <c r="B242" i="1"/>
  <c r="C242" i="1"/>
  <c r="D242" i="1"/>
  <c r="E242" i="1"/>
  <c r="F242" i="1"/>
  <c r="H242" i="1"/>
  <c r="I242" i="1"/>
  <c r="J242" i="1"/>
  <c r="K242" i="1"/>
  <c r="L242" i="1"/>
  <c r="M242" i="1"/>
  <c r="N242" i="1"/>
  <c r="O242" i="1"/>
  <c r="Q242" i="1"/>
  <c r="A243" i="1"/>
  <c r="B243" i="1"/>
  <c r="C243" i="1"/>
  <c r="D243" i="1"/>
  <c r="E243" i="1"/>
  <c r="F243" i="1"/>
  <c r="H243" i="1"/>
  <c r="I243" i="1"/>
  <c r="J243" i="1"/>
  <c r="K243" i="1"/>
  <c r="L243" i="1"/>
  <c r="M243" i="1"/>
  <c r="N243" i="1"/>
  <c r="O243" i="1"/>
  <c r="Q243" i="1"/>
  <c r="A244" i="1"/>
  <c r="B244" i="1"/>
  <c r="C244" i="1"/>
  <c r="D244" i="1"/>
  <c r="E244" i="1"/>
  <c r="F244" i="1"/>
  <c r="H244" i="1"/>
  <c r="I244" i="1"/>
  <c r="J244" i="1"/>
  <c r="K244" i="1"/>
  <c r="L244" i="1"/>
  <c r="M244" i="1"/>
  <c r="N244" i="1"/>
  <c r="O244" i="1"/>
  <c r="Q244" i="1"/>
  <c r="A245" i="1"/>
  <c r="B245" i="1"/>
  <c r="C245" i="1"/>
  <c r="D245" i="1"/>
  <c r="E245" i="1"/>
  <c r="F245" i="1"/>
  <c r="H245" i="1"/>
  <c r="I245" i="1"/>
  <c r="J245" i="1"/>
  <c r="K245" i="1"/>
  <c r="L245" i="1"/>
  <c r="M245" i="1"/>
  <c r="N245" i="1"/>
  <c r="O245" i="1"/>
  <c r="Q245" i="1"/>
  <c r="A246" i="1"/>
  <c r="B246" i="1"/>
  <c r="C246" i="1"/>
  <c r="D246" i="1"/>
  <c r="E246" i="1"/>
  <c r="F246" i="1"/>
  <c r="H246" i="1"/>
  <c r="I246" i="1"/>
  <c r="J246" i="1"/>
  <c r="K246" i="1"/>
  <c r="L246" i="1"/>
  <c r="M246" i="1"/>
  <c r="N246" i="1"/>
  <c r="O246" i="1"/>
  <c r="Q246" i="1"/>
  <c r="A247" i="1"/>
  <c r="B247" i="1"/>
  <c r="C247" i="1"/>
  <c r="D247" i="1"/>
  <c r="E247" i="1"/>
  <c r="F247" i="1"/>
  <c r="H247" i="1"/>
  <c r="I247" i="1"/>
  <c r="J247" i="1"/>
  <c r="K247" i="1"/>
  <c r="L247" i="1"/>
  <c r="M247" i="1"/>
  <c r="N247" i="1"/>
  <c r="O247" i="1"/>
  <c r="Q247" i="1"/>
  <c r="A248" i="1"/>
  <c r="B248" i="1"/>
  <c r="C248" i="1"/>
  <c r="D248" i="1"/>
  <c r="E248" i="1"/>
  <c r="F248" i="1"/>
  <c r="H248" i="1"/>
  <c r="I248" i="1"/>
  <c r="J248" i="1"/>
  <c r="K248" i="1"/>
  <c r="L248" i="1"/>
  <c r="M248" i="1"/>
  <c r="N248" i="1"/>
  <c r="O248" i="1"/>
  <c r="Q248" i="1"/>
  <c r="A249" i="1"/>
  <c r="B249" i="1"/>
  <c r="C249" i="1"/>
  <c r="D249" i="1"/>
  <c r="E249" i="1"/>
  <c r="F249" i="1"/>
  <c r="H249" i="1"/>
  <c r="I249" i="1"/>
  <c r="J249" i="1"/>
  <c r="K249" i="1"/>
  <c r="L249" i="1"/>
  <c r="M249" i="1"/>
  <c r="N249" i="1"/>
  <c r="O249" i="1"/>
  <c r="Q249" i="1"/>
  <c r="A250" i="1"/>
  <c r="B250" i="1"/>
  <c r="C250" i="1"/>
  <c r="D250" i="1"/>
  <c r="E250" i="1"/>
  <c r="F250" i="1"/>
  <c r="H250" i="1"/>
  <c r="I250" i="1"/>
  <c r="J250" i="1"/>
  <c r="K250" i="1"/>
  <c r="L250" i="1"/>
  <c r="M250" i="1"/>
  <c r="N250" i="1"/>
  <c r="O250" i="1"/>
  <c r="Q250" i="1"/>
  <c r="A251" i="1"/>
  <c r="B251" i="1"/>
  <c r="C251" i="1"/>
  <c r="D251" i="1"/>
  <c r="E251" i="1"/>
  <c r="F251" i="1"/>
  <c r="H251" i="1"/>
  <c r="I251" i="1"/>
  <c r="J251" i="1"/>
  <c r="K251" i="1"/>
  <c r="L251" i="1"/>
  <c r="M251" i="1"/>
  <c r="N251" i="1"/>
  <c r="O251" i="1"/>
  <c r="Q251" i="1"/>
  <c r="A252" i="1"/>
  <c r="B252" i="1"/>
  <c r="C252" i="1"/>
  <c r="D252" i="1"/>
  <c r="E252" i="1"/>
  <c r="F252" i="1"/>
  <c r="H252" i="1"/>
  <c r="I252" i="1"/>
  <c r="J252" i="1"/>
  <c r="K252" i="1"/>
  <c r="L252" i="1"/>
  <c r="M252" i="1"/>
  <c r="N252" i="1"/>
  <c r="O252" i="1"/>
  <c r="Q252" i="1"/>
  <c r="A253" i="1"/>
  <c r="B253" i="1"/>
  <c r="C253" i="1"/>
  <c r="D253" i="1"/>
  <c r="E253" i="1"/>
  <c r="F253" i="1"/>
  <c r="H253" i="1"/>
  <c r="I253" i="1"/>
  <c r="J253" i="1"/>
  <c r="K253" i="1"/>
  <c r="L253" i="1"/>
  <c r="M253" i="1"/>
  <c r="N253" i="1"/>
  <c r="O253" i="1"/>
  <c r="Q253" i="1"/>
  <c r="A254" i="1"/>
  <c r="B254" i="1"/>
  <c r="C254" i="1"/>
  <c r="D254" i="1"/>
  <c r="E254" i="1"/>
  <c r="F254" i="1"/>
  <c r="H254" i="1"/>
  <c r="I254" i="1"/>
  <c r="J254" i="1"/>
  <c r="K254" i="1"/>
  <c r="L254" i="1"/>
  <c r="M254" i="1"/>
  <c r="N254" i="1"/>
  <c r="O254" i="1"/>
  <c r="Q254" i="1"/>
  <c r="A255" i="1"/>
  <c r="B255" i="1"/>
  <c r="C255" i="1"/>
  <c r="D255" i="1"/>
  <c r="E255" i="1"/>
  <c r="F255" i="1"/>
  <c r="H255" i="1"/>
  <c r="I255" i="1"/>
  <c r="J255" i="1"/>
  <c r="K255" i="1"/>
  <c r="L255" i="1"/>
  <c r="M255" i="1"/>
  <c r="N255" i="1"/>
  <c r="O255" i="1"/>
  <c r="Q255" i="1"/>
  <c r="A256" i="1"/>
  <c r="B256" i="1"/>
  <c r="C256" i="1"/>
  <c r="D256" i="1"/>
  <c r="E256" i="1"/>
  <c r="F256" i="1"/>
  <c r="H256" i="1"/>
  <c r="I256" i="1"/>
  <c r="J256" i="1"/>
  <c r="K256" i="1"/>
  <c r="L256" i="1"/>
  <c r="M256" i="1"/>
  <c r="N256" i="1"/>
  <c r="O256" i="1"/>
  <c r="Q256" i="1"/>
  <c r="A257" i="1"/>
  <c r="B257" i="1"/>
  <c r="C257" i="1"/>
  <c r="D257" i="1"/>
  <c r="E257" i="1"/>
  <c r="F257" i="1"/>
  <c r="H257" i="1"/>
  <c r="I257" i="1"/>
  <c r="J257" i="1"/>
  <c r="K257" i="1"/>
  <c r="L257" i="1"/>
  <c r="M257" i="1"/>
  <c r="N257" i="1"/>
  <c r="O257" i="1"/>
  <c r="Q257" i="1"/>
  <c r="A258" i="1"/>
  <c r="B258" i="1"/>
  <c r="C258" i="1"/>
  <c r="D258" i="1"/>
  <c r="E258" i="1"/>
  <c r="F258" i="1"/>
  <c r="H258" i="1"/>
  <c r="I258" i="1"/>
  <c r="J258" i="1"/>
  <c r="K258" i="1"/>
  <c r="L258" i="1"/>
  <c r="M258" i="1"/>
  <c r="N258" i="1"/>
  <c r="O258" i="1"/>
  <c r="Q258" i="1"/>
  <c r="A259" i="1"/>
  <c r="B259" i="1"/>
  <c r="C259" i="1"/>
  <c r="D259" i="1"/>
  <c r="E259" i="1"/>
  <c r="F259" i="1"/>
  <c r="H259" i="1"/>
  <c r="I259" i="1"/>
  <c r="J259" i="1"/>
  <c r="K259" i="1"/>
  <c r="L259" i="1"/>
  <c r="M259" i="1"/>
  <c r="N259" i="1"/>
  <c r="O259" i="1"/>
  <c r="Q259" i="1"/>
  <c r="A260" i="1"/>
  <c r="B260" i="1"/>
  <c r="C260" i="1"/>
  <c r="D260" i="1"/>
  <c r="E260" i="1"/>
  <c r="F260" i="1"/>
  <c r="H260" i="1"/>
  <c r="I260" i="1"/>
  <c r="J260" i="1"/>
  <c r="K260" i="1"/>
  <c r="L260" i="1"/>
  <c r="M260" i="1"/>
  <c r="N260" i="1"/>
  <c r="O260" i="1"/>
  <c r="Q260" i="1"/>
  <c r="A261" i="1"/>
  <c r="B261" i="1"/>
  <c r="C261" i="1"/>
  <c r="D261" i="1"/>
  <c r="E261" i="1"/>
  <c r="F261" i="1"/>
  <c r="H261" i="1"/>
  <c r="I261" i="1"/>
  <c r="J261" i="1"/>
  <c r="K261" i="1"/>
  <c r="L261" i="1"/>
  <c r="M261" i="1"/>
  <c r="N261" i="1"/>
  <c r="O261" i="1"/>
  <c r="Q261" i="1"/>
  <c r="A262" i="1"/>
  <c r="B262" i="1"/>
  <c r="C262" i="1"/>
  <c r="D262" i="1"/>
  <c r="E262" i="1"/>
  <c r="F262" i="1"/>
  <c r="H262" i="1"/>
  <c r="I262" i="1"/>
  <c r="J262" i="1"/>
  <c r="K262" i="1"/>
  <c r="L262" i="1"/>
  <c r="M262" i="1"/>
  <c r="N262" i="1"/>
  <c r="O262" i="1"/>
  <c r="Q262" i="1"/>
  <c r="A263" i="1"/>
  <c r="B263" i="1"/>
  <c r="C263" i="1"/>
  <c r="D263" i="1"/>
  <c r="E263" i="1"/>
  <c r="F263" i="1"/>
  <c r="H263" i="1"/>
  <c r="I263" i="1"/>
  <c r="J263" i="1"/>
  <c r="K263" i="1"/>
  <c r="L263" i="1"/>
  <c r="M263" i="1"/>
  <c r="N263" i="1"/>
  <c r="O263" i="1"/>
  <c r="Q263" i="1"/>
  <c r="A264" i="1"/>
  <c r="B264" i="1"/>
  <c r="C264" i="1"/>
  <c r="D264" i="1"/>
  <c r="E264" i="1"/>
  <c r="F264" i="1"/>
  <c r="H264" i="1"/>
  <c r="I264" i="1"/>
  <c r="J264" i="1"/>
  <c r="K264" i="1"/>
  <c r="L264" i="1"/>
  <c r="M264" i="1"/>
  <c r="N264" i="1"/>
  <c r="O264" i="1"/>
  <c r="Q264" i="1"/>
  <c r="A265" i="1"/>
  <c r="B265" i="1"/>
  <c r="C265" i="1"/>
  <c r="D265" i="1"/>
  <c r="E265" i="1"/>
  <c r="F265" i="1"/>
  <c r="H265" i="1"/>
  <c r="I265" i="1"/>
  <c r="J265" i="1"/>
  <c r="K265" i="1"/>
  <c r="L265" i="1"/>
  <c r="M265" i="1"/>
  <c r="N265" i="1"/>
  <c r="O265" i="1"/>
  <c r="Q265" i="1"/>
  <c r="A266" i="1"/>
  <c r="B266" i="1"/>
  <c r="C266" i="1"/>
  <c r="D266" i="1"/>
  <c r="E266" i="1"/>
  <c r="F266" i="1"/>
  <c r="H266" i="1"/>
  <c r="I266" i="1"/>
  <c r="J266" i="1"/>
  <c r="K266" i="1"/>
  <c r="L266" i="1"/>
  <c r="M266" i="1"/>
  <c r="N266" i="1"/>
  <c r="O266" i="1"/>
  <c r="Q266" i="1"/>
  <c r="A267" i="1"/>
  <c r="B267" i="1"/>
  <c r="C267" i="1"/>
  <c r="D267" i="1"/>
  <c r="E267" i="1"/>
  <c r="F267" i="1"/>
  <c r="H267" i="1"/>
  <c r="I267" i="1"/>
  <c r="J267" i="1"/>
  <c r="K267" i="1"/>
  <c r="L267" i="1"/>
  <c r="M267" i="1"/>
  <c r="N267" i="1"/>
  <c r="O267" i="1"/>
  <c r="Q267" i="1"/>
  <c r="A268" i="1"/>
  <c r="B268" i="1"/>
  <c r="C268" i="1"/>
  <c r="D268" i="1"/>
  <c r="E268" i="1"/>
  <c r="F268" i="1"/>
  <c r="H268" i="1"/>
  <c r="I268" i="1"/>
  <c r="J268" i="1"/>
  <c r="K268" i="1"/>
  <c r="L268" i="1"/>
  <c r="M268" i="1"/>
  <c r="N268" i="1"/>
  <c r="O268" i="1"/>
  <c r="Q268" i="1"/>
  <c r="A269" i="1"/>
  <c r="B269" i="1"/>
  <c r="C269" i="1"/>
  <c r="D269" i="1"/>
  <c r="E269" i="1"/>
  <c r="F269" i="1"/>
  <c r="H269" i="1"/>
  <c r="I269" i="1"/>
  <c r="J269" i="1"/>
  <c r="K269" i="1"/>
  <c r="L269" i="1"/>
  <c r="M269" i="1"/>
  <c r="N269" i="1"/>
  <c r="O269" i="1"/>
  <c r="Q269" i="1"/>
  <c r="A270" i="1"/>
  <c r="B270" i="1"/>
  <c r="C270" i="1"/>
  <c r="D270" i="1"/>
  <c r="E270" i="1"/>
  <c r="F270" i="1"/>
  <c r="H270" i="1"/>
  <c r="I270" i="1"/>
  <c r="J270" i="1"/>
  <c r="K270" i="1"/>
  <c r="L270" i="1"/>
  <c r="M270" i="1"/>
  <c r="N270" i="1"/>
  <c r="O270" i="1"/>
  <c r="Q270" i="1"/>
  <c r="A271" i="1"/>
  <c r="B271" i="1"/>
  <c r="C271" i="1"/>
  <c r="D271" i="1"/>
  <c r="E271" i="1"/>
  <c r="F271" i="1"/>
  <c r="H271" i="1"/>
  <c r="I271" i="1"/>
  <c r="J271" i="1"/>
  <c r="K271" i="1"/>
  <c r="L271" i="1"/>
  <c r="M271" i="1"/>
  <c r="N271" i="1"/>
  <c r="O271" i="1"/>
  <c r="Q271" i="1"/>
  <c r="A272" i="1"/>
  <c r="B272" i="1"/>
  <c r="C272" i="1"/>
  <c r="D272" i="1"/>
  <c r="E272" i="1"/>
  <c r="F272" i="1"/>
  <c r="H272" i="1"/>
  <c r="I272" i="1"/>
  <c r="J272" i="1"/>
  <c r="K272" i="1"/>
  <c r="L272" i="1"/>
  <c r="M272" i="1"/>
  <c r="N272" i="1"/>
  <c r="O272" i="1"/>
  <c r="Q272" i="1"/>
  <c r="A273" i="1"/>
  <c r="B273" i="1"/>
  <c r="C273" i="1"/>
  <c r="D273" i="1"/>
  <c r="E273" i="1"/>
  <c r="F273" i="1"/>
  <c r="H273" i="1"/>
  <c r="I273" i="1"/>
  <c r="J273" i="1"/>
  <c r="K273" i="1"/>
  <c r="L273" i="1"/>
  <c r="M273" i="1"/>
  <c r="N273" i="1"/>
  <c r="O273" i="1"/>
  <c r="Q273" i="1"/>
  <c r="A274" i="1"/>
  <c r="B274" i="1"/>
  <c r="C274" i="1"/>
  <c r="D274" i="1"/>
  <c r="E274" i="1"/>
  <c r="F274" i="1"/>
  <c r="H274" i="1"/>
  <c r="I274" i="1"/>
  <c r="J274" i="1"/>
  <c r="K274" i="1"/>
  <c r="L274" i="1"/>
  <c r="M274" i="1"/>
  <c r="N274" i="1"/>
  <c r="O274" i="1"/>
  <c r="Q274" i="1"/>
  <c r="A275" i="1"/>
  <c r="B275" i="1"/>
  <c r="C275" i="1"/>
  <c r="D275" i="1"/>
  <c r="E275" i="1"/>
  <c r="F275" i="1"/>
  <c r="H275" i="1"/>
  <c r="I275" i="1"/>
  <c r="J275" i="1"/>
  <c r="K275" i="1"/>
  <c r="L275" i="1"/>
  <c r="M275" i="1"/>
  <c r="N275" i="1"/>
  <c r="O275" i="1"/>
  <c r="Q275" i="1"/>
  <c r="A276" i="1"/>
  <c r="B276" i="1"/>
  <c r="C276" i="1"/>
  <c r="D276" i="1"/>
  <c r="E276" i="1"/>
  <c r="F276" i="1"/>
  <c r="H276" i="1"/>
  <c r="I276" i="1"/>
  <c r="J276" i="1"/>
  <c r="K276" i="1"/>
  <c r="L276" i="1"/>
  <c r="M276" i="1"/>
  <c r="N276" i="1"/>
  <c r="O276" i="1"/>
  <c r="Q276" i="1"/>
  <c r="A277" i="1"/>
  <c r="B277" i="1"/>
  <c r="C277" i="1"/>
  <c r="D277" i="1"/>
  <c r="E277" i="1"/>
  <c r="F277" i="1"/>
  <c r="H277" i="1"/>
  <c r="I277" i="1"/>
  <c r="J277" i="1"/>
  <c r="K277" i="1"/>
  <c r="L277" i="1"/>
  <c r="M277" i="1"/>
  <c r="N277" i="1"/>
  <c r="O277" i="1"/>
  <c r="Q277" i="1"/>
  <c r="A278" i="1"/>
  <c r="B278" i="1"/>
  <c r="C278" i="1"/>
  <c r="D278" i="1"/>
  <c r="E278" i="1"/>
  <c r="F278" i="1"/>
  <c r="H278" i="1"/>
  <c r="I278" i="1"/>
  <c r="J278" i="1"/>
  <c r="K278" i="1"/>
  <c r="L278" i="1"/>
  <c r="M278" i="1"/>
  <c r="N278" i="1"/>
  <c r="O278" i="1"/>
  <c r="Q278" i="1"/>
  <c r="A279" i="1"/>
  <c r="B279" i="1"/>
  <c r="C279" i="1"/>
  <c r="D279" i="1"/>
  <c r="E279" i="1"/>
  <c r="F279" i="1"/>
  <c r="H279" i="1"/>
  <c r="I279" i="1"/>
  <c r="J279" i="1"/>
  <c r="K279" i="1"/>
  <c r="L279" i="1"/>
  <c r="M279" i="1"/>
  <c r="N279" i="1"/>
  <c r="O279" i="1"/>
  <c r="Q279" i="1"/>
  <c r="A280" i="1"/>
  <c r="B280" i="1"/>
  <c r="C280" i="1"/>
  <c r="D280" i="1"/>
  <c r="E280" i="1"/>
  <c r="F280" i="1"/>
  <c r="H280" i="1"/>
  <c r="I280" i="1"/>
  <c r="J280" i="1"/>
  <c r="K280" i="1"/>
  <c r="L280" i="1"/>
  <c r="M280" i="1"/>
  <c r="N280" i="1"/>
  <c r="O280" i="1"/>
  <c r="Q280" i="1"/>
  <c r="A281" i="1"/>
  <c r="B281" i="1"/>
  <c r="C281" i="1"/>
  <c r="D281" i="1"/>
  <c r="E281" i="1"/>
  <c r="F281" i="1"/>
  <c r="H281" i="1"/>
  <c r="I281" i="1"/>
  <c r="J281" i="1"/>
  <c r="K281" i="1"/>
  <c r="L281" i="1"/>
  <c r="M281" i="1"/>
  <c r="N281" i="1"/>
  <c r="O281" i="1"/>
  <c r="Q281" i="1"/>
  <c r="A282" i="1"/>
  <c r="B282" i="1"/>
  <c r="C282" i="1"/>
  <c r="D282" i="1"/>
  <c r="E282" i="1"/>
  <c r="F282" i="1"/>
  <c r="H282" i="1"/>
  <c r="I282" i="1"/>
  <c r="J282" i="1"/>
  <c r="K282" i="1"/>
  <c r="L282" i="1"/>
  <c r="M282" i="1"/>
  <c r="N282" i="1"/>
  <c r="O282" i="1"/>
  <c r="Q282" i="1"/>
  <c r="A283" i="1"/>
  <c r="B283" i="1"/>
  <c r="C283" i="1"/>
  <c r="D283" i="1"/>
  <c r="E283" i="1"/>
  <c r="F283" i="1"/>
  <c r="H283" i="1"/>
  <c r="I283" i="1"/>
  <c r="J283" i="1"/>
  <c r="K283" i="1"/>
  <c r="L283" i="1"/>
  <c r="M283" i="1"/>
  <c r="N283" i="1"/>
  <c r="O283" i="1"/>
  <c r="Q283" i="1"/>
  <c r="A284" i="1"/>
  <c r="B284" i="1"/>
  <c r="C284" i="1"/>
  <c r="D284" i="1"/>
  <c r="E284" i="1"/>
  <c r="F284" i="1"/>
  <c r="H284" i="1"/>
  <c r="I284" i="1"/>
  <c r="J284" i="1"/>
  <c r="K284" i="1"/>
  <c r="L284" i="1"/>
  <c r="M284" i="1"/>
  <c r="N284" i="1"/>
  <c r="O284" i="1"/>
  <c r="Q284" i="1"/>
  <c r="A285" i="1"/>
  <c r="B285" i="1"/>
  <c r="C285" i="1"/>
  <c r="D285" i="1"/>
  <c r="E285" i="1"/>
  <c r="F285" i="1"/>
  <c r="H285" i="1"/>
  <c r="I285" i="1"/>
  <c r="J285" i="1"/>
  <c r="K285" i="1"/>
  <c r="L285" i="1"/>
  <c r="M285" i="1"/>
  <c r="N285" i="1"/>
  <c r="O285" i="1"/>
  <c r="Q285" i="1"/>
  <c r="A286" i="1"/>
  <c r="B286" i="1"/>
  <c r="C286" i="1"/>
  <c r="D286" i="1"/>
  <c r="E286" i="1"/>
  <c r="F286" i="1"/>
  <c r="H286" i="1"/>
  <c r="I286" i="1"/>
  <c r="J286" i="1"/>
  <c r="K286" i="1"/>
  <c r="L286" i="1"/>
  <c r="M286" i="1"/>
  <c r="N286" i="1"/>
  <c r="O286" i="1"/>
  <c r="Q286" i="1"/>
  <c r="A287" i="1"/>
  <c r="B287" i="1"/>
  <c r="C287" i="1"/>
  <c r="D287" i="1"/>
  <c r="E287" i="1"/>
  <c r="F287" i="1"/>
  <c r="H287" i="1"/>
  <c r="I287" i="1"/>
  <c r="J287" i="1"/>
  <c r="K287" i="1"/>
  <c r="L287" i="1"/>
  <c r="M287" i="1"/>
  <c r="N287" i="1"/>
  <c r="O287" i="1"/>
  <c r="Q287" i="1"/>
  <c r="A288" i="1"/>
  <c r="B288" i="1"/>
  <c r="C288" i="1"/>
  <c r="D288" i="1"/>
  <c r="E288" i="1"/>
  <c r="F288" i="1"/>
  <c r="H288" i="1"/>
  <c r="I288" i="1"/>
  <c r="J288" i="1"/>
  <c r="K288" i="1"/>
  <c r="L288" i="1"/>
  <c r="M288" i="1"/>
  <c r="N288" i="1"/>
  <c r="O288" i="1"/>
  <c r="Q288" i="1"/>
  <c r="A289" i="1"/>
  <c r="B289" i="1"/>
  <c r="C289" i="1"/>
  <c r="D289" i="1"/>
  <c r="E289" i="1"/>
  <c r="F289" i="1"/>
  <c r="H289" i="1"/>
  <c r="I289" i="1"/>
  <c r="J289" i="1"/>
  <c r="K289" i="1"/>
  <c r="L289" i="1"/>
  <c r="M289" i="1"/>
  <c r="N289" i="1"/>
  <c r="O289" i="1"/>
  <c r="Q289" i="1"/>
  <c r="A290" i="1"/>
  <c r="B290" i="1"/>
  <c r="C290" i="1"/>
  <c r="D290" i="1"/>
  <c r="E290" i="1"/>
  <c r="F290" i="1"/>
  <c r="H290" i="1"/>
  <c r="I290" i="1"/>
  <c r="J290" i="1"/>
  <c r="K290" i="1"/>
  <c r="L290" i="1"/>
  <c r="M290" i="1"/>
  <c r="N290" i="1"/>
  <c r="O290" i="1"/>
  <c r="Q290" i="1"/>
  <c r="A291" i="1"/>
  <c r="B291" i="1"/>
  <c r="C291" i="1"/>
  <c r="D291" i="1"/>
  <c r="E291" i="1"/>
  <c r="F291" i="1"/>
  <c r="H291" i="1"/>
  <c r="I291" i="1"/>
  <c r="J291" i="1"/>
  <c r="K291" i="1"/>
  <c r="L291" i="1"/>
  <c r="M291" i="1"/>
  <c r="N291" i="1"/>
  <c r="O291" i="1"/>
  <c r="Q291" i="1"/>
  <c r="A292" i="1"/>
  <c r="B292" i="1"/>
  <c r="C292" i="1"/>
  <c r="D292" i="1"/>
  <c r="E292" i="1"/>
  <c r="F292" i="1"/>
  <c r="H292" i="1"/>
  <c r="I292" i="1"/>
  <c r="J292" i="1"/>
  <c r="K292" i="1"/>
  <c r="L292" i="1"/>
  <c r="M292" i="1"/>
  <c r="N292" i="1"/>
  <c r="O292" i="1"/>
  <c r="Q292" i="1"/>
  <c r="A293" i="1"/>
  <c r="B293" i="1"/>
  <c r="C293" i="1"/>
  <c r="D293" i="1"/>
  <c r="E293" i="1"/>
  <c r="F293" i="1"/>
  <c r="H293" i="1"/>
  <c r="I293" i="1"/>
  <c r="J293" i="1"/>
  <c r="K293" i="1"/>
  <c r="L293" i="1"/>
  <c r="M293" i="1"/>
  <c r="N293" i="1"/>
  <c r="O293" i="1"/>
  <c r="Q293" i="1"/>
  <c r="A294" i="1"/>
  <c r="B294" i="1"/>
  <c r="C294" i="1"/>
  <c r="D294" i="1"/>
  <c r="E294" i="1"/>
  <c r="F294" i="1"/>
  <c r="H294" i="1"/>
  <c r="I294" i="1"/>
  <c r="J294" i="1"/>
  <c r="K294" i="1"/>
  <c r="L294" i="1"/>
  <c r="M294" i="1"/>
  <c r="N294" i="1"/>
  <c r="O294" i="1"/>
  <c r="Q294" i="1"/>
  <c r="A295" i="1"/>
  <c r="B295" i="1"/>
  <c r="C295" i="1"/>
  <c r="D295" i="1"/>
  <c r="E295" i="1"/>
  <c r="F295" i="1"/>
  <c r="H295" i="1"/>
  <c r="I295" i="1"/>
  <c r="J295" i="1"/>
  <c r="K295" i="1"/>
  <c r="L295" i="1"/>
  <c r="M295" i="1"/>
  <c r="N295" i="1"/>
  <c r="O295" i="1"/>
  <c r="Q295" i="1"/>
  <c r="A296" i="1"/>
  <c r="B296" i="1"/>
  <c r="C296" i="1"/>
  <c r="D296" i="1"/>
  <c r="E296" i="1"/>
  <c r="F296" i="1"/>
  <c r="H296" i="1"/>
  <c r="I296" i="1"/>
  <c r="J296" i="1"/>
  <c r="K296" i="1"/>
  <c r="L296" i="1"/>
  <c r="M296" i="1"/>
  <c r="N296" i="1"/>
  <c r="O296" i="1"/>
  <c r="Q296" i="1"/>
  <c r="A297" i="1"/>
  <c r="B297" i="1"/>
  <c r="C297" i="1"/>
  <c r="D297" i="1"/>
  <c r="E297" i="1"/>
  <c r="F297" i="1"/>
  <c r="H297" i="1"/>
  <c r="I297" i="1"/>
  <c r="J297" i="1"/>
  <c r="K297" i="1"/>
  <c r="L297" i="1"/>
  <c r="M297" i="1"/>
  <c r="N297" i="1"/>
  <c r="O297" i="1"/>
  <c r="Q297" i="1"/>
  <c r="A298" i="1"/>
  <c r="B298" i="1"/>
  <c r="C298" i="1"/>
  <c r="D298" i="1"/>
  <c r="E298" i="1"/>
  <c r="F298" i="1"/>
  <c r="H298" i="1"/>
  <c r="I298" i="1"/>
  <c r="J298" i="1"/>
  <c r="K298" i="1"/>
  <c r="L298" i="1"/>
  <c r="M298" i="1"/>
  <c r="N298" i="1"/>
  <c r="O298" i="1"/>
  <c r="Q298" i="1"/>
  <c r="A299" i="1"/>
  <c r="B299" i="1"/>
  <c r="C299" i="1"/>
  <c r="D299" i="1"/>
  <c r="E299" i="1"/>
  <c r="F299" i="1"/>
  <c r="H299" i="1"/>
  <c r="I299" i="1"/>
  <c r="J299" i="1"/>
  <c r="K299" i="1"/>
  <c r="L299" i="1"/>
  <c r="M299" i="1"/>
  <c r="N299" i="1"/>
  <c r="O299" i="1"/>
  <c r="Q299" i="1"/>
  <c r="A300" i="1"/>
  <c r="B300" i="1"/>
  <c r="C300" i="1"/>
  <c r="D300" i="1"/>
  <c r="E300" i="1"/>
  <c r="F300" i="1"/>
  <c r="H300" i="1"/>
  <c r="I300" i="1"/>
  <c r="J300" i="1"/>
  <c r="K300" i="1"/>
  <c r="L300" i="1"/>
  <c r="M300" i="1"/>
  <c r="N300" i="1"/>
  <c r="O300" i="1"/>
  <c r="Q300" i="1"/>
  <c r="A301" i="1"/>
  <c r="B301" i="1"/>
  <c r="C301" i="1"/>
  <c r="D301" i="1"/>
  <c r="E301" i="1"/>
  <c r="F301" i="1"/>
  <c r="H301" i="1"/>
  <c r="I301" i="1"/>
  <c r="J301" i="1"/>
  <c r="K301" i="1"/>
  <c r="L301" i="1"/>
  <c r="M301" i="1"/>
  <c r="N301" i="1"/>
  <c r="O301" i="1"/>
  <c r="Q301" i="1"/>
  <c r="A302" i="1"/>
  <c r="B302" i="1"/>
  <c r="C302" i="1"/>
  <c r="D302" i="1"/>
  <c r="E302" i="1"/>
  <c r="F302" i="1"/>
  <c r="H302" i="1"/>
  <c r="I302" i="1"/>
  <c r="J302" i="1"/>
  <c r="K302" i="1"/>
  <c r="L302" i="1"/>
  <c r="M302" i="1"/>
  <c r="N302" i="1"/>
  <c r="O302" i="1"/>
  <c r="Q302" i="1"/>
  <c r="A303" i="1"/>
  <c r="B303" i="1"/>
  <c r="C303" i="1"/>
  <c r="D303" i="1"/>
  <c r="E303" i="1"/>
  <c r="F303" i="1"/>
  <c r="H303" i="1"/>
  <c r="I303" i="1"/>
  <c r="J303" i="1"/>
  <c r="K303" i="1"/>
  <c r="L303" i="1"/>
  <c r="M303" i="1"/>
  <c r="N303" i="1"/>
  <c r="O303" i="1"/>
  <c r="Q303" i="1"/>
  <c r="A304" i="1"/>
  <c r="B304" i="1"/>
  <c r="C304" i="1"/>
  <c r="D304" i="1"/>
  <c r="E304" i="1"/>
  <c r="F304" i="1"/>
  <c r="H304" i="1"/>
  <c r="I304" i="1"/>
  <c r="J304" i="1"/>
  <c r="K304" i="1"/>
  <c r="L304" i="1"/>
  <c r="M304" i="1"/>
  <c r="N304" i="1"/>
  <c r="O304" i="1"/>
  <c r="Q304" i="1"/>
  <c r="A305" i="1"/>
  <c r="B305" i="1"/>
  <c r="C305" i="1"/>
  <c r="D305" i="1"/>
  <c r="E305" i="1"/>
  <c r="F305" i="1"/>
  <c r="H305" i="1"/>
  <c r="I305" i="1"/>
  <c r="J305" i="1"/>
  <c r="K305" i="1"/>
  <c r="L305" i="1"/>
  <c r="M305" i="1"/>
  <c r="N305" i="1"/>
  <c r="O305" i="1"/>
  <c r="Q305" i="1"/>
  <c r="A306" i="1"/>
  <c r="B306" i="1"/>
  <c r="C306" i="1"/>
  <c r="D306" i="1"/>
  <c r="E306" i="1"/>
  <c r="F306" i="1"/>
  <c r="H306" i="1"/>
  <c r="I306" i="1"/>
  <c r="J306" i="1"/>
  <c r="K306" i="1"/>
  <c r="L306" i="1"/>
  <c r="M306" i="1"/>
  <c r="N306" i="1"/>
  <c r="O306" i="1"/>
  <c r="Q306" i="1"/>
  <c r="A307" i="1"/>
  <c r="B307" i="1"/>
  <c r="C307" i="1"/>
  <c r="D307" i="1"/>
  <c r="E307" i="1"/>
  <c r="F307" i="1"/>
  <c r="H307" i="1"/>
  <c r="I307" i="1"/>
  <c r="J307" i="1"/>
  <c r="K307" i="1"/>
  <c r="L307" i="1"/>
  <c r="M307" i="1"/>
  <c r="N307" i="1"/>
  <c r="O307" i="1"/>
  <c r="Q307" i="1"/>
  <c r="A308" i="1"/>
  <c r="B308" i="1"/>
  <c r="C308" i="1"/>
  <c r="D308" i="1"/>
  <c r="E308" i="1"/>
  <c r="F308" i="1"/>
  <c r="H308" i="1"/>
  <c r="I308" i="1"/>
  <c r="J308" i="1"/>
  <c r="K308" i="1"/>
  <c r="L308" i="1"/>
  <c r="M308" i="1"/>
  <c r="N308" i="1"/>
  <c r="O308" i="1"/>
  <c r="Q308" i="1"/>
  <c r="A309" i="1"/>
  <c r="B309" i="1"/>
  <c r="C309" i="1"/>
  <c r="D309" i="1"/>
  <c r="E309" i="1"/>
  <c r="F309" i="1"/>
  <c r="H309" i="1"/>
  <c r="I309" i="1"/>
  <c r="J309" i="1"/>
  <c r="K309" i="1"/>
  <c r="L309" i="1"/>
  <c r="M309" i="1"/>
  <c r="N309" i="1"/>
  <c r="O309" i="1"/>
  <c r="Q309" i="1"/>
  <c r="A310" i="1"/>
  <c r="B310" i="1"/>
  <c r="C310" i="1"/>
  <c r="D310" i="1"/>
  <c r="E310" i="1"/>
  <c r="F310" i="1"/>
  <c r="H310" i="1"/>
  <c r="I310" i="1"/>
  <c r="J310" i="1"/>
  <c r="K310" i="1"/>
  <c r="L310" i="1"/>
  <c r="M310" i="1"/>
  <c r="N310" i="1"/>
  <c r="O310" i="1"/>
  <c r="Q310" i="1"/>
  <c r="A311" i="1"/>
  <c r="B311" i="1"/>
  <c r="C311" i="1"/>
  <c r="D311" i="1"/>
  <c r="E311" i="1"/>
  <c r="F311" i="1"/>
  <c r="H311" i="1"/>
  <c r="I311" i="1"/>
  <c r="J311" i="1"/>
  <c r="K311" i="1"/>
  <c r="L311" i="1"/>
  <c r="M311" i="1"/>
  <c r="N311" i="1"/>
  <c r="O311" i="1"/>
  <c r="Q311" i="1"/>
  <c r="A312" i="1"/>
  <c r="B312" i="1"/>
  <c r="C312" i="1"/>
  <c r="D312" i="1"/>
  <c r="E312" i="1"/>
  <c r="F312" i="1"/>
  <c r="H312" i="1"/>
  <c r="I312" i="1"/>
  <c r="J312" i="1"/>
  <c r="K312" i="1"/>
  <c r="L312" i="1"/>
  <c r="M312" i="1"/>
  <c r="N312" i="1"/>
  <c r="O312" i="1"/>
  <c r="Q312" i="1"/>
  <c r="A313" i="1"/>
  <c r="B313" i="1"/>
  <c r="C313" i="1"/>
  <c r="D313" i="1"/>
  <c r="E313" i="1"/>
  <c r="F313" i="1"/>
  <c r="H313" i="1"/>
  <c r="I313" i="1"/>
  <c r="J313" i="1"/>
  <c r="K313" i="1"/>
  <c r="L313" i="1"/>
  <c r="M313" i="1"/>
  <c r="N313" i="1"/>
  <c r="O313" i="1"/>
  <c r="Q313" i="1"/>
  <c r="A314" i="1"/>
  <c r="B314" i="1"/>
  <c r="C314" i="1"/>
  <c r="D314" i="1"/>
  <c r="E314" i="1"/>
  <c r="F314" i="1"/>
  <c r="H314" i="1"/>
  <c r="I314" i="1"/>
  <c r="J314" i="1"/>
  <c r="K314" i="1"/>
  <c r="L314" i="1"/>
  <c r="M314" i="1"/>
  <c r="N314" i="1"/>
  <c r="O314" i="1"/>
  <c r="Q314" i="1"/>
  <c r="A315" i="1"/>
  <c r="B315" i="1"/>
  <c r="C315" i="1"/>
  <c r="D315" i="1"/>
  <c r="E315" i="1"/>
  <c r="F315" i="1"/>
  <c r="H315" i="1"/>
  <c r="I315" i="1"/>
  <c r="J315" i="1"/>
  <c r="K315" i="1"/>
  <c r="L315" i="1"/>
  <c r="M315" i="1"/>
  <c r="N315" i="1"/>
  <c r="O315" i="1"/>
  <c r="Q315" i="1"/>
  <c r="A316" i="1"/>
  <c r="B316" i="1"/>
  <c r="C316" i="1"/>
  <c r="D316" i="1"/>
  <c r="E316" i="1"/>
  <c r="F316" i="1"/>
  <c r="H316" i="1"/>
  <c r="I316" i="1"/>
  <c r="J316" i="1"/>
  <c r="K316" i="1"/>
  <c r="L316" i="1"/>
  <c r="M316" i="1"/>
  <c r="N316" i="1"/>
  <c r="O316" i="1"/>
  <c r="Q316" i="1"/>
  <c r="A317" i="1"/>
  <c r="B317" i="1"/>
  <c r="C317" i="1"/>
  <c r="D317" i="1"/>
  <c r="E317" i="1"/>
  <c r="F317" i="1"/>
  <c r="H317" i="1"/>
  <c r="I317" i="1"/>
  <c r="J317" i="1"/>
  <c r="K317" i="1"/>
  <c r="L317" i="1"/>
  <c r="M317" i="1"/>
  <c r="N317" i="1"/>
  <c r="O317" i="1"/>
  <c r="Q317" i="1"/>
  <c r="A318" i="1"/>
  <c r="B318" i="1"/>
  <c r="C318" i="1"/>
  <c r="D318" i="1"/>
  <c r="E318" i="1"/>
  <c r="F318" i="1"/>
  <c r="H318" i="1"/>
  <c r="I318" i="1"/>
  <c r="J318" i="1"/>
  <c r="K318" i="1"/>
  <c r="L318" i="1"/>
  <c r="M318" i="1"/>
  <c r="N318" i="1"/>
  <c r="O318" i="1"/>
  <c r="Q318" i="1"/>
  <c r="A319" i="1"/>
  <c r="B319" i="1"/>
  <c r="C319" i="1"/>
  <c r="D319" i="1"/>
  <c r="E319" i="1"/>
  <c r="F319" i="1"/>
  <c r="H319" i="1"/>
  <c r="I319" i="1"/>
  <c r="J319" i="1"/>
  <c r="K319" i="1"/>
  <c r="L319" i="1"/>
  <c r="M319" i="1"/>
  <c r="N319" i="1"/>
  <c r="O319" i="1"/>
  <c r="Q319" i="1"/>
  <c r="A320" i="1"/>
  <c r="B320" i="1"/>
  <c r="C320" i="1"/>
  <c r="D320" i="1"/>
  <c r="E320" i="1"/>
  <c r="F320" i="1"/>
  <c r="H320" i="1"/>
  <c r="I320" i="1"/>
  <c r="J320" i="1"/>
  <c r="K320" i="1"/>
  <c r="L320" i="1"/>
  <c r="M320" i="1"/>
  <c r="N320" i="1"/>
  <c r="O320" i="1"/>
  <c r="Q320" i="1"/>
  <c r="A321" i="1"/>
  <c r="B321" i="1"/>
  <c r="C321" i="1"/>
  <c r="D321" i="1"/>
  <c r="E321" i="1"/>
  <c r="F321" i="1"/>
  <c r="H321" i="1"/>
  <c r="I321" i="1"/>
  <c r="J321" i="1"/>
  <c r="K321" i="1"/>
  <c r="L321" i="1"/>
  <c r="M321" i="1"/>
  <c r="N321" i="1"/>
  <c r="O321" i="1"/>
  <c r="Q321" i="1"/>
  <c r="A322" i="1"/>
  <c r="B322" i="1"/>
  <c r="C322" i="1"/>
  <c r="D322" i="1"/>
  <c r="E322" i="1"/>
  <c r="F322" i="1"/>
  <c r="H322" i="1"/>
  <c r="I322" i="1"/>
  <c r="J322" i="1"/>
  <c r="K322" i="1"/>
  <c r="L322" i="1"/>
  <c r="M322" i="1"/>
  <c r="N322" i="1"/>
  <c r="O322" i="1"/>
  <c r="Q322" i="1"/>
  <c r="A323" i="1"/>
  <c r="B323" i="1"/>
  <c r="C323" i="1"/>
  <c r="D323" i="1"/>
  <c r="E323" i="1"/>
  <c r="F323" i="1"/>
  <c r="H323" i="1"/>
  <c r="I323" i="1"/>
  <c r="J323" i="1"/>
  <c r="K323" i="1"/>
  <c r="L323" i="1"/>
  <c r="M323" i="1"/>
  <c r="N323" i="1"/>
  <c r="O323" i="1"/>
  <c r="Q323" i="1"/>
  <c r="A324" i="1"/>
  <c r="B324" i="1"/>
  <c r="C324" i="1"/>
  <c r="D324" i="1"/>
  <c r="E324" i="1"/>
  <c r="F324" i="1"/>
  <c r="H324" i="1"/>
  <c r="I324" i="1"/>
  <c r="J324" i="1"/>
  <c r="K324" i="1"/>
  <c r="L324" i="1"/>
  <c r="M324" i="1"/>
  <c r="N324" i="1"/>
  <c r="O324" i="1"/>
  <c r="Q324" i="1"/>
  <c r="A325" i="1"/>
  <c r="B325" i="1"/>
  <c r="C325" i="1"/>
  <c r="D325" i="1"/>
  <c r="E325" i="1"/>
  <c r="F325" i="1"/>
  <c r="H325" i="1"/>
  <c r="I325" i="1"/>
  <c r="J325" i="1"/>
  <c r="K325" i="1"/>
  <c r="L325" i="1"/>
  <c r="M325" i="1"/>
  <c r="N325" i="1"/>
  <c r="O325" i="1"/>
  <c r="Q325" i="1"/>
  <c r="A326" i="1"/>
  <c r="B326" i="1"/>
  <c r="C326" i="1"/>
  <c r="D326" i="1"/>
  <c r="E326" i="1"/>
  <c r="F326" i="1"/>
  <c r="H326" i="1"/>
  <c r="I326" i="1"/>
  <c r="J326" i="1"/>
  <c r="K326" i="1"/>
  <c r="L326" i="1"/>
  <c r="M326" i="1"/>
  <c r="N326" i="1"/>
  <c r="O326" i="1"/>
  <c r="Q326" i="1"/>
  <c r="A327" i="1"/>
  <c r="B327" i="1"/>
  <c r="C327" i="1"/>
  <c r="D327" i="1"/>
  <c r="E327" i="1"/>
  <c r="F327" i="1"/>
  <c r="H327" i="1"/>
  <c r="I327" i="1"/>
  <c r="J327" i="1"/>
  <c r="K327" i="1"/>
  <c r="L327" i="1"/>
  <c r="M327" i="1"/>
  <c r="N327" i="1"/>
  <c r="O327" i="1"/>
  <c r="Q327" i="1"/>
  <c r="A328" i="1"/>
  <c r="B328" i="1"/>
  <c r="C328" i="1"/>
  <c r="D328" i="1"/>
  <c r="E328" i="1"/>
  <c r="F328" i="1"/>
  <c r="H328" i="1"/>
  <c r="I328" i="1"/>
  <c r="J328" i="1"/>
  <c r="K328" i="1"/>
  <c r="L328" i="1"/>
  <c r="M328" i="1"/>
  <c r="N328" i="1"/>
  <c r="O328" i="1"/>
  <c r="Q328" i="1"/>
  <c r="A329" i="1"/>
  <c r="B329" i="1"/>
  <c r="C329" i="1"/>
  <c r="D329" i="1"/>
  <c r="E329" i="1"/>
  <c r="F329" i="1"/>
  <c r="H329" i="1"/>
  <c r="I329" i="1"/>
  <c r="J329" i="1"/>
  <c r="K329" i="1"/>
  <c r="L329" i="1"/>
  <c r="M329" i="1"/>
  <c r="N329" i="1"/>
  <c r="O329" i="1"/>
  <c r="Q329" i="1"/>
  <c r="A330" i="1"/>
  <c r="B330" i="1"/>
  <c r="C330" i="1"/>
  <c r="D330" i="1"/>
  <c r="E330" i="1"/>
  <c r="F330" i="1"/>
  <c r="H330" i="1"/>
  <c r="I330" i="1"/>
  <c r="J330" i="1"/>
  <c r="K330" i="1"/>
  <c r="L330" i="1"/>
  <c r="M330" i="1"/>
  <c r="N330" i="1"/>
  <c r="O330" i="1"/>
  <c r="Q330" i="1"/>
  <c r="A331" i="1"/>
  <c r="B331" i="1"/>
  <c r="C331" i="1"/>
  <c r="D331" i="1"/>
  <c r="E331" i="1"/>
  <c r="F331" i="1"/>
  <c r="H331" i="1"/>
  <c r="I331" i="1"/>
  <c r="J331" i="1"/>
  <c r="K331" i="1"/>
  <c r="L331" i="1"/>
  <c r="M331" i="1"/>
  <c r="N331" i="1"/>
  <c r="O331" i="1"/>
  <c r="Q331" i="1"/>
  <c r="A332" i="1"/>
  <c r="B332" i="1"/>
  <c r="C332" i="1"/>
  <c r="D332" i="1"/>
  <c r="E332" i="1"/>
  <c r="F332" i="1"/>
  <c r="H332" i="1"/>
  <c r="I332" i="1"/>
  <c r="J332" i="1"/>
  <c r="K332" i="1"/>
  <c r="L332" i="1"/>
  <c r="M332" i="1"/>
  <c r="N332" i="1"/>
  <c r="O332" i="1"/>
  <c r="Q332" i="1"/>
  <c r="A333" i="1"/>
  <c r="B333" i="1"/>
  <c r="C333" i="1"/>
  <c r="D333" i="1"/>
  <c r="E333" i="1"/>
  <c r="F333" i="1"/>
  <c r="H333" i="1"/>
  <c r="I333" i="1"/>
  <c r="J333" i="1"/>
  <c r="K333" i="1"/>
  <c r="L333" i="1"/>
  <c r="M333" i="1"/>
  <c r="N333" i="1"/>
  <c r="O333" i="1"/>
  <c r="Q333" i="1"/>
  <c r="A334" i="1"/>
  <c r="B334" i="1"/>
  <c r="C334" i="1"/>
  <c r="D334" i="1"/>
  <c r="E334" i="1"/>
  <c r="F334" i="1"/>
  <c r="H334" i="1"/>
  <c r="I334" i="1"/>
  <c r="J334" i="1"/>
  <c r="K334" i="1"/>
  <c r="L334" i="1"/>
  <c r="M334" i="1"/>
  <c r="N334" i="1"/>
  <c r="O334" i="1"/>
  <c r="Q334" i="1"/>
  <c r="A335" i="1"/>
  <c r="B335" i="1"/>
  <c r="C335" i="1"/>
  <c r="D335" i="1"/>
  <c r="E335" i="1"/>
  <c r="F335" i="1"/>
  <c r="H335" i="1"/>
  <c r="I335" i="1"/>
  <c r="J335" i="1"/>
  <c r="K335" i="1"/>
  <c r="L335" i="1"/>
  <c r="M335" i="1"/>
  <c r="N335" i="1"/>
  <c r="O335" i="1"/>
  <c r="Q335" i="1"/>
  <c r="A336" i="1"/>
  <c r="B336" i="1"/>
  <c r="C336" i="1"/>
  <c r="D336" i="1"/>
  <c r="E336" i="1"/>
  <c r="F336" i="1"/>
  <c r="H336" i="1"/>
  <c r="I336" i="1"/>
  <c r="J336" i="1"/>
  <c r="K336" i="1"/>
  <c r="L336" i="1"/>
  <c r="M336" i="1"/>
  <c r="N336" i="1"/>
  <c r="O336" i="1"/>
  <c r="Q336" i="1"/>
  <c r="A337" i="1"/>
  <c r="B337" i="1"/>
  <c r="C337" i="1"/>
  <c r="D337" i="1"/>
  <c r="E337" i="1"/>
  <c r="F337" i="1"/>
  <c r="H337" i="1"/>
  <c r="I337" i="1"/>
  <c r="J337" i="1"/>
  <c r="K337" i="1"/>
  <c r="L337" i="1"/>
  <c r="M337" i="1"/>
  <c r="N337" i="1"/>
  <c r="O337" i="1"/>
  <c r="Q337" i="1"/>
  <c r="A338" i="1"/>
  <c r="B338" i="1"/>
  <c r="C338" i="1"/>
  <c r="D338" i="1"/>
  <c r="E338" i="1"/>
  <c r="F338" i="1"/>
  <c r="H338" i="1"/>
  <c r="I338" i="1"/>
  <c r="J338" i="1"/>
  <c r="K338" i="1"/>
  <c r="L338" i="1"/>
  <c r="M338" i="1"/>
  <c r="N338" i="1"/>
  <c r="O338" i="1"/>
  <c r="Q338" i="1"/>
  <c r="A339" i="1"/>
  <c r="B339" i="1"/>
  <c r="C339" i="1"/>
  <c r="D339" i="1"/>
  <c r="E339" i="1"/>
  <c r="F339" i="1"/>
  <c r="H339" i="1"/>
  <c r="I339" i="1"/>
  <c r="J339" i="1"/>
  <c r="K339" i="1"/>
  <c r="L339" i="1"/>
  <c r="M339" i="1"/>
  <c r="N339" i="1"/>
  <c r="O339" i="1"/>
  <c r="Q339" i="1"/>
  <c r="A340" i="1"/>
  <c r="B340" i="1"/>
  <c r="C340" i="1"/>
  <c r="D340" i="1"/>
  <c r="E340" i="1"/>
  <c r="F340" i="1"/>
  <c r="H340" i="1"/>
  <c r="I340" i="1"/>
  <c r="J340" i="1"/>
  <c r="K340" i="1"/>
  <c r="L340" i="1"/>
  <c r="M340" i="1"/>
  <c r="N340" i="1"/>
  <c r="O340" i="1"/>
  <c r="Q340" i="1"/>
  <c r="A341" i="1"/>
  <c r="B341" i="1"/>
  <c r="C341" i="1"/>
  <c r="D341" i="1"/>
  <c r="E341" i="1"/>
  <c r="F341" i="1"/>
  <c r="H341" i="1"/>
  <c r="I341" i="1"/>
  <c r="J341" i="1"/>
  <c r="K341" i="1"/>
  <c r="L341" i="1"/>
  <c r="M341" i="1"/>
  <c r="N341" i="1"/>
  <c r="O341" i="1"/>
  <c r="Q341" i="1"/>
  <c r="A342" i="1"/>
  <c r="B342" i="1"/>
  <c r="C342" i="1"/>
  <c r="D342" i="1"/>
  <c r="E342" i="1"/>
  <c r="F342" i="1"/>
  <c r="H342" i="1"/>
  <c r="I342" i="1"/>
  <c r="J342" i="1"/>
  <c r="K342" i="1"/>
  <c r="L342" i="1"/>
  <c r="M342" i="1"/>
  <c r="N342" i="1"/>
  <c r="O342" i="1"/>
  <c r="Q342" i="1"/>
  <c r="A343" i="1"/>
  <c r="B343" i="1"/>
  <c r="C343" i="1"/>
  <c r="D343" i="1"/>
  <c r="E343" i="1"/>
  <c r="F343" i="1"/>
  <c r="H343" i="1"/>
  <c r="I343" i="1"/>
  <c r="J343" i="1"/>
  <c r="K343" i="1"/>
  <c r="L343" i="1"/>
  <c r="M343" i="1"/>
  <c r="N343" i="1"/>
  <c r="O343" i="1"/>
  <c r="Q343" i="1"/>
  <c r="A344" i="1"/>
  <c r="B344" i="1"/>
  <c r="C344" i="1"/>
  <c r="D344" i="1"/>
  <c r="E344" i="1"/>
  <c r="F344" i="1"/>
  <c r="H344" i="1"/>
  <c r="I344" i="1"/>
  <c r="J344" i="1"/>
  <c r="K344" i="1"/>
  <c r="L344" i="1"/>
  <c r="M344" i="1"/>
  <c r="N344" i="1"/>
  <c r="O344" i="1"/>
  <c r="Q344" i="1"/>
  <c r="A345" i="1"/>
  <c r="B345" i="1"/>
  <c r="C345" i="1"/>
  <c r="D345" i="1"/>
  <c r="E345" i="1"/>
  <c r="F345" i="1"/>
  <c r="H345" i="1"/>
  <c r="I345" i="1"/>
  <c r="J345" i="1"/>
  <c r="K345" i="1"/>
  <c r="L345" i="1"/>
  <c r="M345" i="1"/>
  <c r="N345" i="1"/>
  <c r="O345" i="1"/>
  <c r="Q345" i="1"/>
  <c r="A346" i="1"/>
  <c r="B346" i="1"/>
  <c r="C346" i="1"/>
  <c r="D346" i="1"/>
  <c r="E346" i="1"/>
  <c r="F346" i="1"/>
  <c r="H346" i="1"/>
  <c r="I346" i="1"/>
  <c r="J346" i="1"/>
  <c r="K346" i="1"/>
  <c r="L346" i="1"/>
  <c r="M346" i="1"/>
  <c r="N346" i="1"/>
  <c r="O346" i="1"/>
  <c r="Q346" i="1"/>
  <c r="A347" i="1"/>
  <c r="B347" i="1"/>
  <c r="C347" i="1"/>
  <c r="D347" i="1"/>
  <c r="E347" i="1"/>
  <c r="F347" i="1"/>
  <c r="H347" i="1"/>
  <c r="I347" i="1"/>
  <c r="J347" i="1"/>
  <c r="K347" i="1"/>
  <c r="L347" i="1"/>
  <c r="M347" i="1"/>
  <c r="N347" i="1"/>
  <c r="O347" i="1"/>
  <c r="Q347" i="1"/>
  <c r="A348" i="1"/>
  <c r="B348" i="1"/>
  <c r="C348" i="1"/>
  <c r="D348" i="1"/>
  <c r="E348" i="1"/>
  <c r="F348" i="1"/>
  <c r="H348" i="1"/>
  <c r="I348" i="1"/>
  <c r="J348" i="1"/>
  <c r="K348" i="1"/>
  <c r="L348" i="1"/>
  <c r="M348" i="1"/>
  <c r="N348" i="1"/>
  <c r="O348" i="1"/>
  <c r="Q348" i="1"/>
  <c r="A349" i="1"/>
  <c r="B349" i="1"/>
  <c r="C349" i="1"/>
  <c r="D349" i="1"/>
  <c r="E349" i="1"/>
  <c r="F349" i="1"/>
  <c r="H349" i="1"/>
  <c r="I349" i="1"/>
  <c r="J349" i="1"/>
  <c r="K349" i="1"/>
  <c r="L349" i="1"/>
  <c r="M349" i="1"/>
  <c r="N349" i="1"/>
  <c r="O349" i="1"/>
  <c r="Q349" i="1"/>
  <c r="A350" i="1"/>
  <c r="B350" i="1"/>
  <c r="C350" i="1"/>
  <c r="D350" i="1"/>
  <c r="E350" i="1"/>
  <c r="F350" i="1"/>
  <c r="H350" i="1"/>
  <c r="I350" i="1"/>
  <c r="J350" i="1"/>
  <c r="K350" i="1"/>
  <c r="L350" i="1"/>
  <c r="M350" i="1"/>
  <c r="N350" i="1"/>
  <c r="O350" i="1"/>
  <c r="Q350" i="1"/>
  <c r="A351" i="1"/>
  <c r="B351" i="1"/>
  <c r="C351" i="1"/>
  <c r="D351" i="1"/>
  <c r="E351" i="1"/>
  <c r="F351" i="1"/>
  <c r="H351" i="1"/>
  <c r="I351" i="1"/>
  <c r="J351" i="1"/>
  <c r="K351" i="1"/>
  <c r="L351" i="1"/>
  <c r="M351" i="1"/>
  <c r="N351" i="1"/>
  <c r="O351" i="1"/>
  <c r="Q351" i="1"/>
  <c r="A352" i="1"/>
  <c r="B352" i="1"/>
  <c r="C352" i="1"/>
  <c r="D352" i="1"/>
  <c r="E352" i="1"/>
  <c r="F352" i="1"/>
  <c r="H352" i="1"/>
  <c r="I352" i="1"/>
  <c r="J352" i="1"/>
  <c r="K352" i="1"/>
  <c r="L352" i="1"/>
  <c r="M352" i="1"/>
  <c r="N352" i="1"/>
  <c r="O352" i="1"/>
  <c r="Q352" i="1"/>
  <c r="A353" i="1"/>
  <c r="B353" i="1"/>
  <c r="C353" i="1"/>
  <c r="D353" i="1"/>
  <c r="E353" i="1"/>
  <c r="F353" i="1"/>
  <c r="H353" i="1"/>
  <c r="I353" i="1"/>
  <c r="J353" i="1"/>
  <c r="K353" i="1"/>
  <c r="L353" i="1"/>
  <c r="M353" i="1"/>
  <c r="N353" i="1"/>
  <c r="O353" i="1"/>
  <c r="Q353" i="1"/>
  <c r="A354" i="1"/>
  <c r="B354" i="1"/>
  <c r="C354" i="1"/>
  <c r="D354" i="1"/>
  <c r="E354" i="1"/>
  <c r="F354" i="1"/>
  <c r="H354" i="1"/>
  <c r="I354" i="1"/>
  <c r="J354" i="1"/>
  <c r="K354" i="1"/>
  <c r="L354" i="1"/>
  <c r="M354" i="1"/>
  <c r="N354" i="1"/>
  <c r="O354" i="1"/>
  <c r="Q354" i="1"/>
  <c r="A355" i="1"/>
  <c r="B355" i="1"/>
  <c r="C355" i="1"/>
  <c r="D355" i="1"/>
  <c r="E355" i="1"/>
  <c r="F355" i="1"/>
  <c r="H355" i="1"/>
  <c r="I355" i="1"/>
  <c r="J355" i="1"/>
  <c r="K355" i="1"/>
  <c r="L355" i="1"/>
  <c r="M355" i="1"/>
  <c r="N355" i="1"/>
  <c r="O355" i="1"/>
  <c r="Q355" i="1"/>
  <c r="A356" i="1"/>
  <c r="B356" i="1"/>
  <c r="C356" i="1"/>
  <c r="D356" i="1"/>
  <c r="E356" i="1"/>
  <c r="F356" i="1"/>
  <c r="H356" i="1"/>
  <c r="I356" i="1"/>
  <c r="J356" i="1"/>
  <c r="K356" i="1"/>
  <c r="L356" i="1"/>
  <c r="M356" i="1"/>
  <c r="N356" i="1"/>
  <c r="O356" i="1"/>
  <c r="Q356" i="1"/>
  <c r="A357" i="1"/>
  <c r="B357" i="1"/>
  <c r="C357" i="1"/>
  <c r="D357" i="1"/>
  <c r="E357" i="1"/>
  <c r="F357" i="1"/>
  <c r="H357" i="1"/>
  <c r="I357" i="1"/>
  <c r="J357" i="1"/>
  <c r="K357" i="1"/>
  <c r="L357" i="1"/>
  <c r="M357" i="1"/>
  <c r="N357" i="1"/>
  <c r="O357" i="1"/>
  <c r="Q357" i="1"/>
  <c r="A358" i="1"/>
  <c r="B358" i="1"/>
  <c r="C358" i="1"/>
  <c r="D358" i="1"/>
  <c r="E358" i="1"/>
  <c r="F358" i="1"/>
  <c r="H358" i="1"/>
  <c r="I358" i="1"/>
  <c r="J358" i="1"/>
  <c r="K358" i="1"/>
  <c r="L358" i="1"/>
  <c r="M358" i="1"/>
  <c r="N358" i="1"/>
  <c r="O358" i="1"/>
  <c r="Q358" i="1"/>
  <c r="A359" i="1"/>
  <c r="B359" i="1"/>
  <c r="C359" i="1"/>
  <c r="D359" i="1"/>
  <c r="E359" i="1"/>
  <c r="F359" i="1"/>
  <c r="H359" i="1"/>
  <c r="I359" i="1"/>
  <c r="J359" i="1"/>
  <c r="K359" i="1"/>
  <c r="L359" i="1"/>
  <c r="M359" i="1"/>
  <c r="N359" i="1"/>
  <c r="O359" i="1"/>
  <c r="Q359" i="1"/>
  <c r="A360" i="1"/>
  <c r="B360" i="1"/>
  <c r="C360" i="1"/>
  <c r="D360" i="1"/>
  <c r="E360" i="1"/>
  <c r="F360" i="1"/>
  <c r="H360" i="1"/>
  <c r="I360" i="1"/>
  <c r="J360" i="1"/>
  <c r="K360" i="1"/>
  <c r="L360" i="1"/>
  <c r="M360" i="1"/>
  <c r="N360" i="1"/>
  <c r="O360" i="1"/>
  <c r="Q360" i="1"/>
  <c r="A361" i="1"/>
  <c r="B361" i="1"/>
  <c r="C361" i="1"/>
  <c r="D361" i="1"/>
  <c r="E361" i="1"/>
  <c r="F361" i="1"/>
  <c r="H361" i="1"/>
  <c r="I361" i="1"/>
  <c r="J361" i="1"/>
  <c r="K361" i="1"/>
  <c r="L361" i="1"/>
  <c r="M361" i="1"/>
  <c r="N361" i="1"/>
  <c r="O361" i="1"/>
  <c r="Q361" i="1"/>
  <c r="A362" i="1"/>
  <c r="B362" i="1"/>
  <c r="C362" i="1"/>
  <c r="D362" i="1"/>
  <c r="E362" i="1"/>
  <c r="F362" i="1"/>
  <c r="H362" i="1"/>
  <c r="I362" i="1"/>
  <c r="J362" i="1"/>
  <c r="K362" i="1"/>
  <c r="L362" i="1"/>
  <c r="M362" i="1"/>
  <c r="N362" i="1"/>
  <c r="O362" i="1"/>
  <c r="Q362" i="1"/>
  <c r="A363" i="1"/>
  <c r="B363" i="1"/>
  <c r="C363" i="1"/>
  <c r="D363" i="1"/>
  <c r="E363" i="1"/>
  <c r="F363" i="1"/>
  <c r="H363" i="1"/>
  <c r="I363" i="1"/>
  <c r="J363" i="1"/>
  <c r="K363" i="1"/>
  <c r="L363" i="1"/>
  <c r="M363" i="1"/>
  <c r="N363" i="1"/>
  <c r="O363" i="1"/>
  <c r="Q363" i="1"/>
  <c r="A364" i="1"/>
  <c r="B364" i="1"/>
  <c r="C364" i="1"/>
  <c r="D364" i="1"/>
  <c r="E364" i="1"/>
  <c r="F364" i="1"/>
  <c r="H364" i="1"/>
  <c r="I364" i="1"/>
  <c r="J364" i="1"/>
  <c r="K364" i="1"/>
  <c r="L364" i="1"/>
  <c r="M364" i="1"/>
  <c r="N364" i="1"/>
  <c r="O364" i="1"/>
  <c r="Q364" i="1"/>
  <c r="A365" i="1"/>
  <c r="B365" i="1"/>
  <c r="C365" i="1"/>
  <c r="D365" i="1"/>
  <c r="E365" i="1"/>
  <c r="F365" i="1"/>
  <c r="H365" i="1"/>
  <c r="I365" i="1"/>
  <c r="J365" i="1"/>
  <c r="K365" i="1"/>
  <c r="L365" i="1"/>
  <c r="M365" i="1"/>
  <c r="N365" i="1"/>
  <c r="O365" i="1"/>
  <c r="Q365" i="1"/>
  <c r="A366" i="1"/>
  <c r="B366" i="1"/>
  <c r="C366" i="1"/>
  <c r="D366" i="1"/>
  <c r="E366" i="1"/>
  <c r="F366" i="1"/>
  <c r="H366" i="1"/>
  <c r="I366" i="1"/>
  <c r="J366" i="1"/>
  <c r="K366" i="1"/>
  <c r="L366" i="1"/>
  <c r="M366" i="1"/>
  <c r="N366" i="1"/>
  <c r="O366" i="1"/>
  <c r="Q366" i="1"/>
  <c r="A367" i="1"/>
  <c r="B367" i="1"/>
  <c r="C367" i="1"/>
  <c r="D367" i="1"/>
  <c r="E367" i="1"/>
  <c r="F367" i="1"/>
  <c r="H367" i="1"/>
  <c r="I367" i="1"/>
  <c r="J367" i="1"/>
  <c r="K367" i="1"/>
  <c r="L367" i="1"/>
  <c r="M367" i="1"/>
  <c r="N367" i="1"/>
  <c r="O367" i="1"/>
  <c r="Q367" i="1"/>
  <c r="A368" i="1"/>
  <c r="B368" i="1"/>
  <c r="C368" i="1"/>
  <c r="D368" i="1"/>
  <c r="E368" i="1"/>
  <c r="F368" i="1"/>
  <c r="H368" i="1"/>
  <c r="I368" i="1"/>
  <c r="J368" i="1"/>
  <c r="K368" i="1"/>
  <c r="L368" i="1"/>
  <c r="M368" i="1"/>
  <c r="N368" i="1"/>
  <c r="O368" i="1"/>
  <c r="Q368" i="1"/>
  <c r="A369" i="1"/>
  <c r="B369" i="1"/>
  <c r="C369" i="1"/>
  <c r="D369" i="1"/>
  <c r="E369" i="1"/>
  <c r="F369" i="1"/>
  <c r="H369" i="1"/>
  <c r="I369" i="1"/>
  <c r="J369" i="1"/>
  <c r="K369" i="1"/>
  <c r="L369" i="1"/>
  <c r="M369" i="1"/>
  <c r="N369" i="1"/>
  <c r="O369" i="1"/>
  <c r="Q369" i="1"/>
  <c r="A370" i="1"/>
  <c r="B370" i="1"/>
  <c r="C370" i="1"/>
  <c r="D370" i="1"/>
  <c r="E370" i="1"/>
  <c r="F370" i="1"/>
  <c r="H370" i="1"/>
  <c r="I370" i="1"/>
  <c r="J370" i="1"/>
  <c r="K370" i="1"/>
  <c r="L370" i="1"/>
  <c r="M370" i="1"/>
  <c r="N370" i="1"/>
  <c r="O370" i="1"/>
  <c r="Q370" i="1"/>
  <c r="A371" i="1"/>
  <c r="B371" i="1"/>
  <c r="C371" i="1"/>
  <c r="D371" i="1"/>
  <c r="E371" i="1"/>
  <c r="F371" i="1"/>
  <c r="H371" i="1"/>
  <c r="I371" i="1"/>
  <c r="J371" i="1"/>
  <c r="K371" i="1"/>
  <c r="L371" i="1"/>
  <c r="M371" i="1"/>
  <c r="N371" i="1"/>
  <c r="O371" i="1"/>
  <c r="Q371" i="1"/>
  <c r="A372" i="1"/>
  <c r="B372" i="1"/>
  <c r="C372" i="1"/>
  <c r="D372" i="1"/>
  <c r="E372" i="1"/>
  <c r="F372" i="1"/>
  <c r="H372" i="1"/>
  <c r="I372" i="1"/>
  <c r="J372" i="1"/>
  <c r="K372" i="1"/>
  <c r="L372" i="1"/>
  <c r="M372" i="1"/>
  <c r="N372" i="1"/>
  <c r="O372" i="1"/>
  <c r="Q372" i="1"/>
  <c r="A373" i="1"/>
  <c r="B373" i="1"/>
  <c r="C373" i="1"/>
  <c r="D373" i="1"/>
  <c r="E373" i="1"/>
  <c r="F373" i="1"/>
  <c r="H373" i="1"/>
  <c r="I373" i="1"/>
  <c r="J373" i="1"/>
  <c r="K373" i="1"/>
  <c r="L373" i="1"/>
  <c r="M373" i="1"/>
  <c r="N373" i="1"/>
  <c r="O373" i="1"/>
  <c r="Q373" i="1"/>
  <c r="A374" i="1"/>
  <c r="B374" i="1"/>
  <c r="C374" i="1"/>
  <c r="D374" i="1"/>
  <c r="E374" i="1"/>
  <c r="F374" i="1"/>
  <c r="H374" i="1"/>
  <c r="I374" i="1"/>
  <c r="J374" i="1"/>
  <c r="K374" i="1"/>
  <c r="L374" i="1"/>
  <c r="M374" i="1"/>
  <c r="N374" i="1"/>
  <c r="O374" i="1"/>
  <c r="Q374" i="1"/>
  <c r="A375" i="1"/>
  <c r="B375" i="1"/>
  <c r="C375" i="1"/>
  <c r="D375" i="1"/>
  <c r="E375" i="1"/>
  <c r="F375" i="1"/>
  <c r="H375" i="1"/>
  <c r="I375" i="1"/>
  <c r="J375" i="1"/>
  <c r="K375" i="1"/>
  <c r="L375" i="1"/>
  <c r="M375" i="1"/>
  <c r="N375" i="1"/>
  <c r="O375" i="1"/>
  <c r="Q375" i="1"/>
  <c r="A376" i="1"/>
  <c r="B376" i="1"/>
  <c r="C376" i="1"/>
  <c r="D376" i="1"/>
  <c r="E376" i="1"/>
  <c r="F376" i="1"/>
  <c r="H376" i="1"/>
  <c r="I376" i="1"/>
  <c r="J376" i="1"/>
  <c r="K376" i="1"/>
  <c r="L376" i="1"/>
  <c r="M376" i="1"/>
  <c r="N376" i="1"/>
  <c r="O376" i="1"/>
  <c r="Q376" i="1"/>
  <c r="A377" i="1"/>
  <c r="B377" i="1"/>
  <c r="C377" i="1"/>
  <c r="D377" i="1"/>
  <c r="E377" i="1"/>
  <c r="F377" i="1"/>
  <c r="H377" i="1"/>
  <c r="I377" i="1"/>
  <c r="J377" i="1"/>
  <c r="K377" i="1"/>
  <c r="L377" i="1"/>
  <c r="M377" i="1"/>
  <c r="N377" i="1"/>
  <c r="O377" i="1"/>
  <c r="Q377" i="1"/>
  <c r="A378" i="1"/>
  <c r="B378" i="1"/>
  <c r="C378" i="1"/>
  <c r="D378" i="1"/>
  <c r="E378" i="1"/>
  <c r="F378" i="1"/>
  <c r="H378" i="1"/>
  <c r="I378" i="1"/>
  <c r="J378" i="1"/>
  <c r="K378" i="1"/>
  <c r="L378" i="1"/>
  <c r="M378" i="1"/>
  <c r="N378" i="1"/>
  <c r="O378" i="1"/>
  <c r="Q378" i="1"/>
  <c r="A379" i="1"/>
  <c r="B379" i="1"/>
  <c r="C379" i="1"/>
  <c r="D379" i="1"/>
  <c r="E379" i="1"/>
  <c r="F379" i="1"/>
  <c r="H379" i="1"/>
  <c r="I379" i="1"/>
  <c r="J379" i="1"/>
  <c r="K379" i="1"/>
  <c r="L379" i="1"/>
  <c r="M379" i="1"/>
  <c r="N379" i="1"/>
  <c r="O379" i="1"/>
  <c r="Q379" i="1"/>
  <c r="A380" i="1"/>
  <c r="B380" i="1"/>
  <c r="C380" i="1"/>
  <c r="D380" i="1"/>
  <c r="E380" i="1"/>
  <c r="F380" i="1"/>
  <c r="H380" i="1"/>
  <c r="I380" i="1"/>
  <c r="J380" i="1"/>
  <c r="K380" i="1"/>
  <c r="L380" i="1"/>
  <c r="M380" i="1"/>
  <c r="N380" i="1"/>
  <c r="O380" i="1"/>
  <c r="Q380" i="1"/>
  <c r="A381" i="1"/>
  <c r="B381" i="1"/>
  <c r="C381" i="1"/>
  <c r="D381" i="1"/>
  <c r="E381" i="1"/>
  <c r="F381" i="1"/>
  <c r="H381" i="1"/>
  <c r="I381" i="1"/>
  <c r="J381" i="1"/>
  <c r="K381" i="1"/>
  <c r="L381" i="1"/>
  <c r="M381" i="1"/>
  <c r="N381" i="1"/>
  <c r="O381" i="1"/>
  <c r="Q381" i="1"/>
  <c r="A382" i="1"/>
  <c r="B382" i="1"/>
  <c r="C382" i="1"/>
  <c r="D382" i="1"/>
  <c r="E382" i="1"/>
  <c r="F382" i="1"/>
  <c r="H382" i="1"/>
  <c r="I382" i="1"/>
  <c r="J382" i="1"/>
  <c r="K382" i="1"/>
  <c r="L382" i="1"/>
  <c r="M382" i="1"/>
  <c r="N382" i="1"/>
  <c r="O382" i="1"/>
  <c r="Q382" i="1"/>
  <c r="A383" i="1"/>
  <c r="B383" i="1"/>
  <c r="C383" i="1"/>
  <c r="D383" i="1"/>
  <c r="E383" i="1"/>
  <c r="F383" i="1"/>
  <c r="H383" i="1"/>
  <c r="I383" i="1"/>
  <c r="J383" i="1"/>
  <c r="K383" i="1"/>
  <c r="L383" i="1"/>
  <c r="M383" i="1"/>
  <c r="N383" i="1"/>
  <c r="O383" i="1"/>
  <c r="Q383" i="1"/>
  <c r="A384" i="1"/>
  <c r="B384" i="1"/>
  <c r="C384" i="1"/>
  <c r="D384" i="1"/>
  <c r="E384" i="1"/>
  <c r="F384" i="1"/>
  <c r="H384" i="1"/>
  <c r="I384" i="1"/>
  <c r="J384" i="1"/>
  <c r="K384" i="1"/>
  <c r="L384" i="1"/>
  <c r="M384" i="1"/>
  <c r="N384" i="1"/>
  <c r="O384" i="1"/>
  <c r="Q384" i="1"/>
  <c r="A385" i="1"/>
  <c r="B385" i="1"/>
  <c r="C385" i="1"/>
  <c r="D385" i="1"/>
  <c r="E385" i="1"/>
  <c r="F385" i="1"/>
  <c r="H385" i="1"/>
  <c r="I385" i="1"/>
  <c r="J385" i="1"/>
  <c r="K385" i="1"/>
  <c r="L385" i="1"/>
  <c r="M385" i="1"/>
  <c r="N385" i="1"/>
  <c r="O385" i="1"/>
  <c r="Q385" i="1"/>
  <c r="A386" i="1"/>
  <c r="B386" i="1"/>
  <c r="C386" i="1"/>
  <c r="D386" i="1"/>
  <c r="E386" i="1"/>
  <c r="F386" i="1"/>
  <c r="H386" i="1"/>
  <c r="I386" i="1"/>
  <c r="J386" i="1"/>
  <c r="K386" i="1"/>
  <c r="L386" i="1"/>
  <c r="M386" i="1"/>
  <c r="N386" i="1"/>
  <c r="O386" i="1"/>
  <c r="Q386" i="1"/>
  <c r="A387" i="1"/>
  <c r="B387" i="1"/>
  <c r="C387" i="1"/>
  <c r="D387" i="1"/>
  <c r="E387" i="1"/>
  <c r="F387" i="1"/>
  <c r="H387" i="1"/>
  <c r="I387" i="1"/>
  <c r="J387" i="1"/>
  <c r="K387" i="1"/>
  <c r="L387" i="1"/>
  <c r="M387" i="1"/>
  <c r="N387" i="1"/>
  <c r="O387" i="1"/>
  <c r="Q387" i="1"/>
  <c r="A388" i="1"/>
  <c r="B388" i="1"/>
  <c r="C388" i="1"/>
  <c r="D388" i="1"/>
  <c r="E388" i="1"/>
  <c r="F388" i="1"/>
  <c r="H388" i="1"/>
  <c r="I388" i="1"/>
  <c r="J388" i="1"/>
  <c r="K388" i="1"/>
  <c r="L388" i="1"/>
  <c r="M388" i="1"/>
  <c r="N388" i="1"/>
  <c r="O388" i="1"/>
  <c r="Q388" i="1"/>
  <c r="A389" i="1"/>
  <c r="B389" i="1"/>
  <c r="C389" i="1"/>
  <c r="D389" i="1"/>
  <c r="E389" i="1"/>
  <c r="F389" i="1"/>
  <c r="H389" i="1"/>
  <c r="I389" i="1"/>
  <c r="J389" i="1"/>
  <c r="K389" i="1"/>
  <c r="L389" i="1"/>
  <c r="M389" i="1"/>
  <c r="N389" i="1"/>
  <c r="O389" i="1"/>
  <c r="Q389" i="1"/>
  <c r="A390" i="1"/>
  <c r="B390" i="1"/>
  <c r="C390" i="1"/>
  <c r="D390" i="1"/>
  <c r="E390" i="1"/>
  <c r="F390" i="1"/>
  <c r="H390" i="1"/>
  <c r="I390" i="1"/>
  <c r="J390" i="1"/>
  <c r="K390" i="1"/>
  <c r="L390" i="1"/>
  <c r="M390" i="1"/>
  <c r="N390" i="1"/>
  <c r="O390" i="1"/>
  <c r="Q390" i="1"/>
  <c r="A391" i="1"/>
  <c r="B391" i="1"/>
  <c r="C391" i="1"/>
  <c r="D391" i="1"/>
  <c r="E391" i="1"/>
  <c r="F391" i="1"/>
  <c r="H391" i="1"/>
  <c r="I391" i="1"/>
  <c r="J391" i="1"/>
  <c r="K391" i="1"/>
  <c r="L391" i="1"/>
  <c r="M391" i="1"/>
  <c r="N391" i="1"/>
  <c r="O391" i="1"/>
  <c r="Q391" i="1"/>
  <c r="A392" i="1"/>
  <c r="B392" i="1"/>
  <c r="C392" i="1"/>
  <c r="D392" i="1"/>
  <c r="E392" i="1"/>
  <c r="F392" i="1"/>
  <c r="H392" i="1"/>
  <c r="I392" i="1"/>
  <c r="J392" i="1"/>
  <c r="K392" i="1"/>
  <c r="L392" i="1"/>
  <c r="M392" i="1"/>
  <c r="N392" i="1"/>
  <c r="O392" i="1"/>
  <c r="Q392" i="1"/>
  <c r="A393" i="1"/>
  <c r="B393" i="1"/>
  <c r="C393" i="1"/>
  <c r="D393" i="1"/>
  <c r="E393" i="1"/>
  <c r="F393" i="1"/>
  <c r="H393" i="1"/>
  <c r="I393" i="1"/>
  <c r="J393" i="1"/>
  <c r="K393" i="1"/>
  <c r="L393" i="1"/>
  <c r="M393" i="1"/>
  <c r="N393" i="1"/>
  <c r="O393" i="1"/>
  <c r="Q393" i="1"/>
  <c r="A394" i="1"/>
  <c r="B394" i="1"/>
  <c r="C394" i="1"/>
  <c r="D394" i="1"/>
  <c r="E394" i="1"/>
  <c r="F394" i="1"/>
  <c r="H394" i="1"/>
  <c r="I394" i="1"/>
  <c r="J394" i="1"/>
  <c r="K394" i="1"/>
  <c r="L394" i="1"/>
  <c r="M394" i="1"/>
  <c r="N394" i="1"/>
  <c r="O394" i="1"/>
  <c r="Q394" i="1"/>
  <c r="A395" i="1"/>
  <c r="B395" i="1"/>
  <c r="C395" i="1"/>
  <c r="D395" i="1"/>
  <c r="E395" i="1"/>
  <c r="F395" i="1"/>
  <c r="H395" i="1"/>
  <c r="I395" i="1"/>
  <c r="J395" i="1"/>
  <c r="K395" i="1"/>
  <c r="L395" i="1"/>
  <c r="M395" i="1"/>
  <c r="N395" i="1"/>
  <c r="O395" i="1"/>
  <c r="Q395" i="1"/>
  <c r="A396" i="1"/>
  <c r="B396" i="1"/>
  <c r="C396" i="1"/>
  <c r="D396" i="1"/>
  <c r="E396" i="1"/>
  <c r="F396" i="1"/>
  <c r="H396" i="1"/>
  <c r="I396" i="1"/>
  <c r="J396" i="1"/>
  <c r="K396" i="1"/>
  <c r="L396" i="1"/>
  <c r="M396" i="1"/>
  <c r="N396" i="1"/>
  <c r="O396" i="1"/>
  <c r="Q396" i="1"/>
  <c r="A397" i="1"/>
  <c r="B397" i="1"/>
  <c r="C397" i="1"/>
  <c r="D397" i="1"/>
  <c r="E397" i="1"/>
  <c r="F397" i="1"/>
  <c r="H397" i="1"/>
  <c r="I397" i="1"/>
  <c r="J397" i="1"/>
  <c r="K397" i="1"/>
  <c r="L397" i="1"/>
  <c r="M397" i="1"/>
  <c r="N397" i="1"/>
  <c r="O397" i="1"/>
  <c r="Q397" i="1"/>
  <c r="A398" i="1"/>
  <c r="B398" i="1"/>
  <c r="C398" i="1"/>
  <c r="D398" i="1"/>
  <c r="E398" i="1"/>
  <c r="F398" i="1"/>
  <c r="H398" i="1"/>
  <c r="I398" i="1"/>
  <c r="J398" i="1"/>
  <c r="K398" i="1"/>
  <c r="L398" i="1"/>
  <c r="M398" i="1"/>
  <c r="N398" i="1"/>
  <c r="O398" i="1"/>
  <c r="Q398" i="1"/>
  <c r="A399" i="1"/>
  <c r="B399" i="1"/>
  <c r="C399" i="1"/>
  <c r="D399" i="1"/>
  <c r="E399" i="1"/>
  <c r="F399" i="1"/>
  <c r="H399" i="1"/>
  <c r="I399" i="1"/>
  <c r="J399" i="1"/>
  <c r="K399" i="1"/>
  <c r="L399" i="1"/>
  <c r="M399" i="1"/>
  <c r="N399" i="1"/>
  <c r="O399" i="1"/>
  <c r="Q399" i="1"/>
  <c r="A400" i="1"/>
  <c r="B400" i="1"/>
  <c r="C400" i="1"/>
  <c r="D400" i="1"/>
  <c r="E400" i="1"/>
  <c r="F400" i="1"/>
  <c r="H400" i="1"/>
  <c r="I400" i="1"/>
  <c r="J400" i="1"/>
  <c r="K400" i="1"/>
  <c r="L400" i="1"/>
  <c r="M400" i="1"/>
  <c r="N400" i="1"/>
  <c r="O400" i="1"/>
  <c r="Q400" i="1"/>
  <c r="A401" i="1"/>
  <c r="B401" i="1"/>
  <c r="C401" i="1"/>
  <c r="D401" i="1"/>
  <c r="E401" i="1"/>
  <c r="F401" i="1"/>
  <c r="H401" i="1"/>
  <c r="I401" i="1"/>
  <c r="J401" i="1"/>
  <c r="K401" i="1"/>
  <c r="L401" i="1"/>
  <c r="M401" i="1"/>
  <c r="N401" i="1"/>
  <c r="O401" i="1"/>
  <c r="Q401" i="1"/>
  <c r="A402" i="1"/>
  <c r="B402" i="1"/>
  <c r="C402" i="1"/>
  <c r="D402" i="1"/>
  <c r="E402" i="1"/>
  <c r="F402" i="1"/>
  <c r="H402" i="1"/>
  <c r="I402" i="1"/>
  <c r="J402" i="1"/>
  <c r="K402" i="1"/>
  <c r="L402" i="1"/>
  <c r="M402" i="1"/>
  <c r="N402" i="1"/>
  <c r="O402" i="1"/>
  <c r="Q402" i="1"/>
  <c r="A403" i="1"/>
  <c r="B403" i="1"/>
  <c r="C403" i="1"/>
  <c r="D403" i="1"/>
  <c r="E403" i="1"/>
  <c r="F403" i="1"/>
  <c r="H403" i="1"/>
  <c r="I403" i="1"/>
  <c r="J403" i="1"/>
  <c r="K403" i="1"/>
  <c r="L403" i="1"/>
  <c r="M403" i="1"/>
  <c r="N403" i="1"/>
  <c r="O403" i="1"/>
  <c r="Q403" i="1"/>
  <c r="A404" i="1"/>
  <c r="B404" i="1"/>
  <c r="C404" i="1"/>
  <c r="D404" i="1"/>
  <c r="E404" i="1"/>
  <c r="F404" i="1"/>
  <c r="H404" i="1"/>
  <c r="I404" i="1"/>
  <c r="J404" i="1"/>
  <c r="K404" i="1"/>
  <c r="L404" i="1"/>
  <c r="M404" i="1"/>
  <c r="N404" i="1"/>
  <c r="O404" i="1"/>
  <c r="Q404" i="1"/>
  <c r="A405" i="1"/>
  <c r="B405" i="1"/>
  <c r="C405" i="1"/>
  <c r="D405" i="1"/>
  <c r="E405" i="1"/>
  <c r="F405" i="1"/>
  <c r="H405" i="1"/>
  <c r="I405" i="1"/>
  <c r="J405" i="1"/>
  <c r="K405" i="1"/>
  <c r="L405" i="1"/>
  <c r="M405" i="1"/>
  <c r="N405" i="1"/>
  <c r="O405" i="1"/>
  <c r="Q405" i="1"/>
  <c r="A406" i="1"/>
  <c r="B406" i="1"/>
  <c r="C406" i="1"/>
  <c r="D406" i="1"/>
  <c r="E406" i="1"/>
  <c r="F406" i="1"/>
  <c r="H406" i="1"/>
  <c r="I406" i="1"/>
  <c r="J406" i="1"/>
  <c r="K406" i="1"/>
  <c r="L406" i="1"/>
  <c r="M406" i="1"/>
  <c r="N406" i="1"/>
  <c r="O406" i="1"/>
  <c r="Q406" i="1"/>
  <c r="A407" i="1"/>
  <c r="B407" i="1"/>
  <c r="C407" i="1"/>
  <c r="D407" i="1"/>
  <c r="E407" i="1"/>
  <c r="F407" i="1"/>
  <c r="H407" i="1"/>
  <c r="I407" i="1"/>
  <c r="J407" i="1"/>
  <c r="K407" i="1"/>
  <c r="L407" i="1"/>
  <c r="M407" i="1"/>
  <c r="N407" i="1"/>
  <c r="O407" i="1"/>
  <c r="Q407" i="1"/>
  <c r="A408" i="1"/>
  <c r="B408" i="1"/>
  <c r="C408" i="1"/>
  <c r="D408" i="1"/>
  <c r="E408" i="1"/>
  <c r="F408" i="1"/>
  <c r="H408" i="1"/>
  <c r="I408" i="1"/>
  <c r="J408" i="1"/>
  <c r="K408" i="1"/>
  <c r="L408" i="1"/>
  <c r="M408" i="1"/>
  <c r="N408" i="1"/>
  <c r="O408" i="1"/>
  <c r="Q408" i="1"/>
  <c r="A409" i="1"/>
  <c r="B409" i="1"/>
  <c r="C409" i="1"/>
  <c r="D409" i="1"/>
  <c r="E409" i="1"/>
  <c r="F409" i="1"/>
  <c r="H409" i="1"/>
  <c r="I409" i="1"/>
  <c r="J409" i="1"/>
  <c r="K409" i="1"/>
  <c r="L409" i="1"/>
  <c r="M409" i="1"/>
  <c r="N409" i="1"/>
  <c r="O409" i="1"/>
  <c r="Q409" i="1"/>
  <c r="A410" i="1"/>
  <c r="B410" i="1"/>
  <c r="C410" i="1"/>
  <c r="D410" i="1"/>
  <c r="E410" i="1"/>
  <c r="F410" i="1"/>
  <c r="H410" i="1"/>
  <c r="I410" i="1"/>
  <c r="J410" i="1"/>
  <c r="K410" i="1"/>
  <c r="L410" i="1"/>
  <c r="M410" i="1"/>
  <c r="N410" i="1"/>
  <c r="O410" i="1"/>
  <c r="Q410" i="1"/>
  <c r="A411" i="1"/>
  <c r="B411" i="1"/>
  <c r="C411" i="1"/>
  <c r="D411" i="1"/>
  <c r="E411" i="1"/>
  <c r="F411" i="1"/>
  <c r="H411" i="1"/>
  <c r="I411" i="1"/>
  <c r="J411" i="1"/>
  <c r="K411" i="1"/>
  <c r="L411" i="1"/>
  <c r="M411" i="1"/>
  <c r="N411" i="1"/>
  <c r="O411" i="1"/>
  <c r="Q411" i="1"/>
  <c r="A412" i="1"/>
  <c r="B412" i="1"/>
  <c r="C412" i="1"/>
  <c r="D412" i="1"/>
  <c r="E412" i="1"/>
  <c r="F412" i="1"/>
  <c r="H412" i="1"/>
  <c r="I412" i="1"/>
  <c r="J412" i="1"/>
  <c r="K412" i="1"/>
  <c r="L412" i="1"/>
  <c r="M412" i="1"/>
  <c r="N412" i="1"/>
  <c r="O412" i="1"/>
  <c r="Q412" i="1"/>
  <c r="A413" i="1"/>
  <c r="B413" i="1"/>
  <c r="C413" i="1"/>
  <c r="D413" i="1"/>
  <c r="E413" i="1"/>
  <c r="F413" i="1"/>
  <c r="H413" i="1"/>
  <c r="I413" i="1"/>
  <c r="J413" i="1"/>
  <c r="K413" i="1"/>
  <c r="L413" i="1"/>
  <c r="M413" i="1"/>
  <c r="N413" i="1"/>
  <c r="O413" i="1"/>
  <c r="Q413" i="1"/>
  <c r="A414" i="1"/>
  <c r="B414" i="1"/>
  <c r="C414" i="1"/>
  <c r="D414" i="1"/>
  <c r="E414" i="1"/>
  <c r="F414" i="1"/>
  <c r="H414" i="1"/>
  <c r="I414" i="1"/>
  <c r="J414" i="1"/>
  <c r="K414" i="1"/>
  <c r="L414" i="1"/>
  <c r="M414" i="1"/>
  <c r="N414" i="1"/>
  <c r="O414" i="1"/>
  <c r="Q414" i="1"/>
  <c r="A415" i="1"/>
  <c r="B415" i="1"/>
  <c r="C415" i="1"/>
  <c r="D415" i="1"/>
  <c r="E415" i="1"/>
  <c r="F415" i="1"/>
  <c r="H415" i="1"/>
  <c r="I415" i="1"/>
  <c r="J415" i="1"/>
  <c r="K415" i="1"/>
  <c r="L415" i="1"/>
  <c r="M415" i="1"/>
  <c r="N415" i="1"/>
  <c r="O415" i="1"/>
  <c r="Q415" i="1"/>
  <c r="A416" i="1"/>
  <c r="B416" i="1"/>
  <c r="C416" i="1"/>
  <c r="D416" i="1"/>
  <c r="E416" i="1"/>
  <c r="F416" i="1"/>
  <c r="H416" i="1"/>
  <c r="I416" i="1"/>
  <c r="J416" i="1"/>
  <c r="K416" i="1"/>
  <c r="L416" i="1"/>
  <c r="M416" i="1"/>
  <c r="N416" i="1"/>
  <c r="O416" i="1"/>
  <c r="Q416" i="1"/>
  <c r="A417" i="1"/>
  <c r="B417" i="1"/>
  <c r="C417" i="1"/>
  <c r="D417" i="1"/>
  <c r="E417" i="1"/>
  <c r="F417" i="1"/>
  <c r="H417" i="1"/>
  <c r="I417" i="1"/>
  <c r="J417" i="1"/>
  <c r="K417" i="1"/>
  <c r="L417" i="1"/>
  <c r="M417" i="1"/>
  <c r="N417" i="1"/>
  <c r="O417" i="1"/>
  <c r="Q417" i="1"/>
  <c r="A418" i="1"/>
  <c r="B418" i="1"/>
  <c r="C418" i="1"/>
  <c r="D418" i="1"/>
  <c r="E418" i="1"/>
  <c r="F418" i="1"/>
  <c r="H418" i="1"/>
  <c r="I418" i="1"/>
  <c r="J418" i="1"/>
  <c r="K418" i="1"/>
  <c r="L418" i="1"/>
  <c r="M418" i="1"/>
  <c r="N418" i="1"/>
  <c r="O418" i="1"/>
  <c r="Q418" i="1"/>
  <c r="A419" i="1"/>
  <c r="B419" i="1"/>
  <c r="C419" i="1"/>
  <c r="D419" i="1"/>
  <c r="E419" i="1"/>
  <c r="F419" i="1"/>
  <c r="H419" i="1"/>
  <c r="I419" i="1"/>
  <c r="J419" i="1"/>
  <c r="K419" i="1"/>
  <c r="L419" i="1"/>
  <c r="M419" i="1"/>
  <c r="N419" i="1"/>
  <c r="O419" i="1"/>
  <c r="Q419" i="1"/>
  <c r="A420" i="1"/>
  <c r="B420" i="1"/>
  <c r="C420" i="1"/>
  <c r="D420" i="1"/>
  <c r="E420" i="1"/>
  <c r="F420" i="1"/>
  <c r="H420" i="1"/>
  <c r="I420" i="1"/>
  <c r="J420" i="1"/>
  <c r="K420" i="1"/>
  <c r="L420" i="1"/>
  <c r="M420" i="1"/>
  <c r="N420" i="1"/>
  <c r="O420" i="1"/>
  <c r="Q420" i="1"/>
  <c r="A421" i="1"/>
  <c r="B421" i="1"/>
  <c r="C421" i="1"/>
  <c r="D421" i="1"/>
  <c r="E421" i="1"/>
  <c r="F421" i="1"/>
  <c r="H421" i="1"/>
  <c r="I421" i="1"/>
  <c r="J421" i="1"/>
  <c r="K421" i="1"/>
  <c r="L421" i="1"/>
  <c r="M421" i="1"/>
  <c r="N421" i="1"/>
  <c r="O421" i="1"/>
  <c r="Q421" i="1"/>
  <c r="A422" i="1"/>
  <c r="B422" i="1"/>
  <c r="C422" i="1"/>
  <c r="D422" i="1"/>
  <c r="E422" i="1"/>
  <c r="F422" i="1"/>
  <c r="H422" i="1"/>
  <c r="I422" i="1"/>
  <c r="J422" i="1"/>
  <c r="K422" i="1"/>
  <c r="L422" i="1"/>
  <c r="M422" i="1"/>
  <c r="N422" i="1"/>
  <c r="O422" i="1"/>
  <c r="Q422" i="1"/>
  <c r="A423" i="1"/>
  <c r="B423" i="1"/>
  <c r="C423" i="1"/>
  <c r="D423" i="1"/>
  <c r="E423" i="1"/>
  <c r="F423" i="1"/>
  <c r="H423" i="1"/>
  <c r="I423" i="1"/>
  <c r="J423" i="1"/>
  <c r="K423" i="1"/>
  <c r="L423" i="1"/>
  <c r="M423" i="1"/>
  <c r="N423" i="1"/>
  <c r="O423" i="1"/>
  <c r="Q423" i="1"/>
  <c r="A424" i="1"/>
  <c r="B424" i="1"/>
  <c r="C424" i="1"/>
  <c r="D424" i="1"/>
  <c r="E424" i="1"/>
  <c r="F424" i="1"/>
  <c r="H424" i="1"/>
  <c r="I424" i="1"/>
  <c r="J424" i="1"/>
  <c r="K424" i="1"/>
  <c r="L424" i="1"/>
  <c r="M424" i="1"/>
  <c r="N424" i="1"/>
  <c r="O424" i="1"/>
  <c r="Q424" i="1"/>
  <c r="A425" i="1"/>
  <c r="B425" i="1"/>
  <c r="C425" i="1"/>
  <c r="D425" i="1"/>
  <c r="E425" i="1"/>
  <c r="F425" i="1"/>
  <c r="H425" i="1"/>
  <c r="I425" i="1"/>
  <c r="J425" i="1"/>
  <c r="K425" i="1"/>
  <c r="L425" i="1"/>
  <c r="M425" i="1"/>
  <c r="N425" i="1"/>
  <c r="O425" i="1"/>
  <c r="Q425" i="1"/>
  <c r="A426" i="1"/>
  <c r="B426" i="1"/>
  <c r="C426" i="1"/>
  <c r="D426" i="1"/>
  <c r="E426" i="1"/>
  <c r="F426" i="1"/>
  <c r="H426" i="1"/>
  <c r="I426" i="1"/>
  <c r="J426" i="1"/>
  <c r="K426" i="1"/>
  <c r="L426" i="1"/>
  <c r="M426" i="1"/>
  <c r="N426" i="1"/>
  <c r="O426" i="1"/>
  <c r="Q426" i="1"/>
  <c r="A427" i="1"/>
  <c r="B427" i="1"/>
  <c r="C427" i="1"/>
  <c r="D427" i="1"/>
  <c r="E427" i="1"/>
  <c r="F427" i="1"/>
  <c r="H427" i="1"/>
  <c r="I427" i="1"/>
  <c r="J427" i="1"/>
  <c r="K427" i="1"/>
  <c r="L427" i="1"/>
  <c r="M427" i="1"/>
  <c r="N427" i="1"/>
  <c r="O427" i="1"/>
  <c r="Q427" i="1"/>
  <c r="A428" i="1"/>
  <c r="B428" i="1"/>
  <c r="C428" i="1"/>
  <c r="D428" i="1"/>
  <c r="E428" i="1"/>
  <c r="F428" i="1"/>
  <c r="H428" i="1"/>
  <c r="I428" i="1"/>
  <c r="J428" i="1"/>
  <c r="K428" i="1"/>
  <c r="L428" i="1"/>
  <c r="M428" i="1"/>
  <c r="N428" i="1"/>
  <c r="O428" i="1"/>
  <c r="Q428" i="1"/>
  <c r="A429" i="1"/>
  <c r="B429" i="1"/>
  <c r="C429" i="1"/>
  <c r="D429" i="1"/>
  <c r="E429" i="1"/>
  <c r="F429" i="1"/>
  <c r="H429" i="1"/>
  <c r="I429" i="1"/>
  <c r="J429" i="1"/>
  <c r="K429" i="1"/>
  <c r="L429" i="1"/>
  <c r="M429" i="1"/>
  <c r="N429" i="1"/>
  <c r="O429" i="1"/>
  <c r="Q429" i="1"/>
  <c r="A430" i="1"/>
  <c r="B430" i="1"/>
  <c r="C430" i="1"/>
  <c r="D430" i="1"/>
  <c r="E430" i="1"/>
  <c r="F430" i="1"/>
  <c r="H430" i="1"/>
  <c r="I430" i="1"/>
  <c r="J430" i="1"/>
  <c r="K430" i="1"/>
  <c r="L430" i="1"/>
  <c r="M430" i="1"/>
  <c r="N430" i="1"/>
  <c r="O430" i="1"/>
  <c r="Q430" i="1"/>
  <c r="A431" i="1"/>
  <c r="B431" i="1"/>
  <c r="C431" i="1"/>
  <c r="D431" i="1"/>
  <c r="E431" i="1"/>
  <c r="F431" i="1"/>
  <c r="H431" i="1"/>
  <c r="I431" i="1"/>
  <c r="J431" i="1"/>
  <c r="K431" i="1"/>
  <c r="L431" i="1"/>
  <c r="M431" i="1"/>
  <c r="N431" i="1"/>
  <c r="O431" i="1"/>
  <c r="Q431" i="1"/>
  <c r="A432" i="1"/>
  <c r="B432" i="1"/>
  <c r="C432" i="1"/>
  <c r="D432" i="1"/>
  <c r="E432" i="1"/>
  <c r="F432" i="1"/>
  <c r="H432" i="1"/>
  <c r="I432" i="1"/>
  <c r="J432" i="1"/>
  <c r="K432" i="1"/>
  <c r="L432" i="1"/>
  <c r="M432" i="1"/>
  <c r="N432" i="1"/>
  <c r="O432" i="1"/>
  <c r="Q432" i="1"/>
  <c r="A433" i="1"/>
  <c r="B433" i="1"/>
  <c r="C433" i="1"/>
  <c r="D433" i="1"/>
  <c r="E433" i="1"/>
  <c r="F433" i="1"/>
  <c r="H433" i="1"/>
  <c r="I433" i="1"/>
  <c r="J433" i="1"/>
  <c r="K433" i="1"/>
  <c r="L433" i="1"/>
  <c r="M433" i="1"/>
  <c r="N433" i="1"/>
  <c r="O433" i="1"/>
  <c r="Q433" i="1"/>
  <c r="A434" i="1"/>
  <c r="B434" i="1"/>
  <c r="C434" i="1"/>
  <c r="D434" i="1"/>
  <c r="E434" i="1"/>
  <c r="F434" i="1"/>
  <c r="H434" i="1"/>
  <c r="I434" i="1"/>
  <c r="J434" i="1"/>
  <c r="K434" i="1"/>
  <c r="L434" i="1"/>
  <c r="M434" i="1"/>
  <c r="N434" i="1"/>
  <c r="O434" i="1"/>
  <c r="Q434" i="1"/>
  <c r="A435" i="1"/>
  <c r="B435" i="1"/>
  <c r="C435" i="1"/>
  <c r="D435" i="1"/>
  <c r="E435" i="1"/>
  <c r="F435" i="1"/>
  <c r="H435" i="1"/>
  <c r="I435" i="1"/>
  <c r="J435" i="1"/>
  <c r="K435" i="1"/>
  <c r="L435" i="1"/>
  <c r="M435" i="1"/>
  <c r="N435" i="1"/>
  <c r="O435" i="1"/>
  <c r="Q435" i="1"/>
  <c r="A436" i="1"/>
  <c r="B436" i="1"/>
  <c r="C436" i="1"/>
  <c r="D436" i="1"/>
  <c r="E436" i="1"/>
  <c r="F436" i="1"/>
  <c r="H436" i="1"/>
  <c r="I436" i="1"/>
  <c r="J436" i="1"/>
  <c r="K436" i="1"/>
  <c r="L436" i="1"/>
  <c r="M436" i="1"/>
  <c r="N436" i="1"/>
  <c r="O436" i="1"/>
  <c r="Q436" i="1"/>
  <c r="A437" i="1"/>
  <c r="B437" i="1"/>
  <c r="C437" i="1"/>
  <c r="D437" i="1"/>
  <c r="E437" i="1"/>
  <c r="F437" i="1"/>
  <c r="H437" i="1"/>
  <c r="I437" i="1"/>
  <c r="J437" i="1"/>
  <c r="K437" i="1"/>
  <c r="L437" i="1"/>
  <c r="M437" i="1"/>
  <c r="N437" i="1"/>
  <c r="O437" i="1"/>
  <c r="Q437" i="1"/>
  <c r="A438" i="1"/>
  <c r="B438" i="1"/>
  <c r="C438" i="1"/>
  <c r="D438" i="1"/>
  <c r="E438" i="1"/>
  <c r="F438" i="1"/>
  <c r="H438" i="1"/>
  <c r="I438" i="1"/>
  <c r="J438" i="1"/>
  <c r="K438" i="1"/>
  <c r="L438" i="1"/>
  <c r="M438" i="1"/>
  <c r="N438" i="1"/>
  <c r="O438" i="1"/>
  <c r="Q438" i="1"/>
  <c r="A439" i="1"/>
  <c r="B439" i="1"/>
  <c r="C439" i="1"/>
  <c r="D439" i="1"/>
  <c r="E439" i="1"/>
  <c r="F439" i="1"/>
  <c r="H439" i="1"/>
  <c r="I439" i="1"/>
  <c r="J439" i="1"/>
  <c r="K439" i="1"/>
  <c r="L439" i="1"/>
  <c r="M439" i="1"/>
  <c r="N439" i="1"/>
  <c r="O439" i="1"/>
  <c r="Q439" i="1"/>
  <c r="A440" i="1"/>
  <c r="B440" i="1"/>
  <c r="C440" i="1"/>
  <c r="D440" i="1"/>
  <c r="E440" i="1"/>
  <c r="F440" i="1"/>
  <c r="H440" i="1"/>
  <c r="I440" i="1"/>
  <c r="J440" i="1"/>
  <c r="K440" i="1"/>
  <c r="L440" i="1"/>
  <c r="M440" i="1"/>
  <c r="N440" i="1"/>
  <c r="O440" i="1"/>
  <c r="Q440" i="1"/>
  <c r="A441" i="1"/>
  <c r="B441" i="1"/>
  <c r="C441" i="1"/>
  <c r="D441" i="1"/>
  <c r="E441" i="1"/>
  <c r="F441" i="1"/>
  <c r="H441" i="1"/>
  <c r="I441" i="1"/>
  <c r="J441" i="1"/>
  <c r="K441" i="1"/>
  <c r="L441" i="1"/>
  <c r="M441" i="1"/>
  <c r="N441" i="1"/>
  <c r="O441" i="1"/>
  <c r="Q441" i="1"/>
  <c r="A442" i="1"/>
  <c r="B442" i="1"/>
  <c r="C442" i="1"/>
  <c r="D442" i="1"/>
  <c r="E442" i="1"/>
  <c r="F442" i="1"/>
  <c r="H442" i="1"/>
  <c r="I442" i="1"/>
  <c r="J442" i="1"/>
  <c r="K442" i="1"/>
  <c r="L442" i="1"/>
  <c r="M442" i="1"/>
  <c r="N442" i="1"/>
  <c r="O442" i="1"/>
  <c r="Q442" i="1"/>
  <c r="A443" i="1"/>
  <c r="B443" i="1"/>
  <c r="C443" i="1"/>
  <c r="D443" i="1"/>
  <c r="E443" i="1"/>
  <c r="F443" i="1"/>
  <c r="H443" i="1"/>
  <c r="I443" i="1"/>
  <c r="J443" i="1"/>
  <c r="K443" i="1"/>
  <c r="L443" i="1"/>
  <c r="M443" i="1"/>
  <c r="N443" i="1"/>
  <c r="O443" i="1"/>
  <c r="Q443" i="1"/>
  <c r="A444" i="1"/>
  <c r="B444" i="1"/>
  <c r="C444" i="1"/>
  <c r="D444" i="1"/>
  <c r="E444" i="1"/>
  <c r="F444" i="1"/>
  <c r="H444" i="1"/>
  <c r="I444" i="1"/>
  <c r="J444" i="1"/>
  <c r="K444" i="1"/>
  <c r="L444" i="1"/>
  <c r="M444" i="1"/>
  <c r="N444" i="1"/>
  <c r="O444" i="1"/>
  <c r="Q444" i="1"/>
  <c r="A445" i="1"/>
  <c r="B445" i="1"/>
  <c r="C445" i="1"/>
  <c r="D445" i="1"/>
  <c r="E445" i="1"/>
  <c r="F445" i="1"/>
  <c r="H445" i="1"/>
  <c r="I445" i="1"/>
  <c r="J445" i="1"/>
  <c r="K445" i="1"/>
  <c r="L445" i="1"/>
  <c r="M445" i="1"/>
  <c r="N445" i="1"/>
  <c r="O445" i="1"/>
  <c r="Q445" i="1"/>
  <c r="A446" i="1"/>
  <c r="B446" i="1"/>
  <c r="C446" i="1"/>
  <c r="D446" i="1"/>
  <c r="E446" i="1"/>
  <c r="F446" i="1"/>
  <c r="H446" i="1"/>
  <c r="I446" i="1"/>
  <c r="J446" i="1"/>
  <c r="K446" i="1"/>
  <c r="L446" i="1"/>
  <c r="M446" i="1"/>
  <c r="N446" i="1"/>
  <c r="O446" i="1"/>
  <c r="Q446" i="1"/>
  <c r="A447" i="1"/>
  <c r="B447" i="1"/>
  <c r="C447" i="1"/>
  <c r="D447" i="1"/>
  <c r="E447" i="1"/>
  <c r="F447" i="1"/>
  <c r="H447" i="1"/>
  <c r="I447" i="1"/>
  <c r="J447" i="1"/>
  <c r="K447" i="1"/>
  <c r="L447" i="1"/>
  <c r="M447" i="1"/>
  <c r="N447" i="1"/>
  <c r="O447" i="1"/>
  <c r="Q447" i="1"/>
  <c r="A448" i="1"/>
  <c r="B448" i="1"/>
  <c r="C448" i="1"/>
  <c r="D448" i="1"/>
  <c r="E448" i="1"/>
  <c r="F448" i="1"/>
  <c r="H448" i="1"/>
  <c r="I448" i="1"/>
  <c r="J448" i="1"/>
  <c r="K448" i="1"/>
  <c r="L448" i="1"/>
  <c r="M448" i="1"/>
  <c r="N448" i="1"/>
  <c r="O448" i="1"/>
  <c r="Q448" i="1"/>
  <c r="A449" i="1"/>
  <c r="B449" i="1"/>
  <c r="C449" i="1"/>
  <c r="D449" i="1"/>
  <c r="E449" i="1"/>
  <c r="F449" i="1"/>
  <c r="H449" i="1"/>
  <c r="I449" i="1"/>
  <c r="J449" i="1"/>
  <c r="K449" i="1"/>
  <c r="L449" i="1"/>
  <c r="M449" i="1"/>
  <c r="N449" i="1"/>
  <c r="O449" i="1"/>
  <c r="Q449" i="1"/>
  <c r="A450" i="1"/>
  <c r="B450" i="1"/>
  <c r="C450" i="1"/>
  <c r="D450" i="1"/>
  <c r="E450" i="1"/>
  <c r="F450" i="1"/>
  <c r="H450" i="1"/>
  <c r="I450" i="1"/>
  <c r="J450" i="1"/>
  <c r="K450" i="1"/>
  <c r="L450" i="1"/>
  <c r="M450" i="1"/>
  <c r="N450" i="1"/>
  <c r="O450" i="1"/>
  <c r="Q450" i="1"/>
  <c r="A451" i="1"/>
  <c r="B451" i="1"/>
  <c r="C451" i="1"/>
  <c r="D451" i="1"/>
  <c r="E451" i="1"/>
  <c r="F451" i="1"/>
  <c r="H451" i="1"/>
  <c r="I451" i="1"/>
  <c r="J451" i="1"/>
  <c r="K451" i="1"/>
  <c r="L451" i="1"/>
  <c r="M451" i="1"/>
  <c r="N451" i="1"/>
  <c r="O451" i="1"/>
  <c r="Q451" i="1"/>
  <c r="A452" i="1"/>
  <c r="B452" i="1"/>
  <c r="C452" i="1"/>
  <c r="D452" i="1"/>
  <c r="E452" i="1"/>
  <c r="F452" i="1"/>
  <c r="H452" i="1"/>
  <c r="I452" i="1"/>
  <c r="J452" i="1"/>
  <c r="K452" i="1"/>
  <c r="L452" i="1"/>
  <c r="M452" i="1"/>
  <c r="N452" i="1"/>
  <c r="O452" i="1"/>
  <c r="Q452" i="1"/>
  <c r="A453" i="1"/>
  <c r="B453" i="1"/>
  <c r="C453" i="1"/>
  <c r="D453" i="1"/>
  <c r="E453" i="1"/>
  <c r="F453" i="1"/>
  <c r="H453" i="1"/>
  <c r="I453" i="1"/>
  <c r="J453" i="1"/>
  <c r="K453" i="1"/>
  <c r="L453" i="1"/>
  <c r="M453" i="1"/>
  <c r="N453" i="1"/>
  <c r="O453" i="1"/>
  <c r="Q453" i="1"/>
  <c r="A454" i="1"/>
  <c r="B454" i="1"/>
  <c r="C454" i="1"/>
  <c r="D454" i="1"/>
  <c r="E454" i="1"/>
  <c r="F454" i="1"/>
  <c r="H454" i="1"/>
  <c r="I454" i="1"/>
  <c r="J454" i="1"/>
  <c r="K454" i="1"/>
  <c r="L454" i="1"/>
  <c r="M454" i="1"/>
  <c r="N454" i="1"/>
  <c r="O454" i="1"/>
  <c r="Q454" i="1"/>
  <c r="A455" i="1"/>
  <c r="B455" i="1"/>
  <c r="C455" i="1"/>
  <c r="D455" i="1"/>
  <c r="E455" i="1"/>
  <c r="F455" i="1"/>
  <c r="H455" i="1"/>
  <c r="I455" i="1"/>
  <c r="J455" i="1"/>
  <c r="K455" i="1"/>
  <c r="L455" i="1"/>
  <c r="M455" i="1"/>
  <c r="N455" i="1"/>
  <c r="O455" i="1"/>
  <c r="Q455" i="1"/>
  <c r="A456" i="1"/>
  <c r="B456" i="1"/>
  <c r="C456" i="1"/>
  <c r="D456" i="1"/>
  <c r="E456" i="1"/>
  <c r="F456" i="1"/>
  <c r="H456" i="1"/>
  <c r="I456" i="1"/>
  <c r="J456" i="1"/>
  <c r="K456" i="1"/>
  <c r="L456" i="1"/>
  <c r="M456" i="1"/>
  <c r="N456" i="1"/>
  <c r="O456" i="1"/>
  <c r="Q456" i="1"/>
  <c r="A457" i="1"/>
  <c r="B457" i="1"/>
  <c r="C457" i="1"/>
  <c r="D457" i="1"/>
  <c r="E457" i="1"/>
  <c r="F457" i="1"/>
  <c r="H457" i="1"/>
  <c r="I457" i="1"/>
  <c r="J457" i="1"/>
  <c r="K457" i="1"/>
  <c r="L457" i="1"/>
  <c r="M457" i="1"/>
  <c r="N457" i="1"/>
  <c r="O457" i="1"/>
  <c r="Q457" i="1"/>
  <c r="A458" i="1"/>
  <c r="B458" i="1"/>
  <c r="C458" i="1"/>
  <c r="D458" i="1"/>
  <c r="E458" i="1"/>
  <c r="F458" i="1"/>
  <c r="H458" i="1"/>
  <c r="I458" i="1"/>
  <c r="J458" i="1"/>
  <c r="K458" i="1"/>
  <c r="L458" i="1"/>
  <c r="M458" i="1"/>
  <c r="N458" i="1"/>
  <c r="O458" i="1"/>
  <c r="Q458" i="1"/>
  <c r="A459" i="1"/>
  <c r="B459" i="1"/>
  <c r="C459" i="1"/>
  <c r="D459" i="1"/>
  <c r="E459" i="1"/>
  <c r="F459" i="1"/>
  <c r="H459" i="1"/>
  <c r="I459" i="1"/>
  <c r="J459" i="1"/>
  <c r="K459" i="1"/>
  <c r="L459" i="1"/>
  <c r="M459" i="1"/>
  <c r="N459" i="1"/>
  <c r="O459" i="1"/>
  <c r="Q459" i="1"/>
  <c r="A460" i="1"/>
  <c r="B460" i="1"/>
  <c r="C460" i="1"/>
  <c r="D460" i="1"/>
  <c r="E460" i="1"/>
  <c r="F460" i="1"/>
  <c r="H460" i="1"/>
  <c r="I460" i="1"/>
  <c r="J460" i="1"/>
  <c r="K460" i="1"/>
  <c r="L460" i="1"/>
  <c r="M460" i="1"/>
  <c r="N460" i="1"/>
  <c r="O460" i="1"/>
  <c r="Q460" i="1"/>
  <c r="A461" i="1"/>
  <c r="B461" i="1"/>
  <c r="C461" i="1"/>
  <c r="D461" i="1"/>
  <c r="E461" i="1"/>
  <c r="F461" i="1"/>
  <c r="H461" i="1"/>
  <c r="I461" i="1"/>
  <c r="J461" i="1"/>
  <c r="K461" i="1"/>
  <c r="L461" i="1"/>
  <c r="M461" i="1"/>
  <c r="N461" i="1"/>
  <c r="O461" i="1"/>
  <c r="Q461" i="1"/>
  <c r="A462" i="1"/>
  <c r="B462" i="1"/>
  <c r="C462" i="1"/>
  <c r="D462" i="1"/>
  <c r="E462" i="1"/>
  <c r="F462" i="1"/>
  <c r="H462" i="1"/>
  <c r="I462" i="1"/>
  <c r="J462" i="1"/>
  <c r="K462" i="1"/>
  <c r="L462" i="1"/>
  <c r="M462" i="1"/>
  <c r="N462" i="1"/>
  <c r="O462" i="1"/>
  <c r="Q462" i="1"/>
  <c r="A463" i="1"/>
  <c r="B463" i="1"/>
  <c r="C463" i="1"/>
  <c r="D463" i="1"/>
  <c r="E463" i="1"/>
  <c r="F463" i="1"/>
  <c r="H463" i="1"/>
  <c r="I463" i="1"/>
  <c r="J463" i="1"/>
  <c r="K463" i="1"/>
  <c r="L463" i="1"/>
  <c r="M463" i="1"/>
  <c r="N463" i="1"/>
  <c r="O463" i="1"/>
  <c r="Q463" i="1"/>
  <c r="A464" i="1"/>
  <c r="B464" i="1"/>
  <c r="C464" i="1"/>
  <c r="D464" i="1"/>
  <c r="E464" i="1"/>
  <c r="F464" i="1"/>
  <c r="H464" i="1"/>
  <c r="I464" i="1"/>
  <c r="J464" i="1"/>
  <c r="K464" i="1"/>
  <c r="L464" i="1"/>
  <c r="M464" i="1"/>
  <c r="N464" i="1"/>
  <c r="O464" i="1"/>
  <c r="Q464" i="1"/>
  <c r="A465" i="1"/>
  <c r="B465" i="1"/>
  <c r="C465" i="1"/>
  <c r="D465" i="1"/>
  <c r="E465" i="1"/>
  <c r="F465" i="1"/>
  <c r="H465" i="1"/>
  <c r="I465" i="1"/>
  <c r="J465" i="1"/>
  <c r="K465" i="1"/>
  <c r="L465" i="1"/>
  <c r="M465" i="1"/>
  <c r="N465" i="1"/>
  <c r="O465" i="1"/>
  <c r="Q465" i="1"/>
  <c r="A466" i="1"/>
  <c r="B466" i="1"/>
  <c r="C466" i="1"/>
  <c r="D466" i="1"/>
  <c r="E466" i="1"/>
  <c r="F466" i="1"/>
  <c r="H466" i="1"/>
  <c r="I466" i="1"/>
  <c r="J466" i="1"/>
  <c r="K466" i="1"/>
  <c r="L466" i="1"/>
  <c r="M466" i="1"/>
  <c r="N466" i="1"/>
  <c r="O466" i="1"/>
  <c r="Q466" i="1"/>
  <c r="A467" i="1"/>
  <c r="B467" i="1"/>
  <c r="C467" i="1"/>
  <c r="D467" i="1"/>
  <c r="E467" i="1"/>
  <c r="F467" i="1"/>
  <c r="H467" i="1"/>
  <c r="I467" i="1"/>
  <c r="J467" i="1"/>
  <c r="K467" i="1"/>
  <c r="L467" i="1"/>
  <c r="M467" i="1"/>
  <c r="N467" i="1"/>
  <c r="O467" i="1"/>
  <c r="Q467" i="1"/>
  <c r="A468" i="1"/>
  <c r="B468" i="1"/>
  <c r="C468" i="1"/>
  <c r="D468" i="1"/>
  <c r="E468" i="1"/>
  <c r="F468" i="1"/>
  <c r="H468" i="1"/>
  <c r="I468" i="1"/>
  <c r="J468" i="1"/>
  <c r="K468" i="1"/>
  <c r="L468" i="1"/>
  <c r="M468" i="1"/>
  <c r="N468" i="1"/>
  <c r="O468" i="1"/>
  <c r="Q468" i="1"/>
  <c r="A469" i="1"/>
  <c r="B469" i="1"/>
  <c r="C469" i="1"/>
  <c r="D469" i="1"/>
  <c r="E469" i="1"/>
  <c r="F469" i="1"/>
  <c r="H469" i="1"/>
  <c r="I469" i="1"/>
  <c r="J469" i="1"/>
  <c r="K469" i="1"/>
  <c r="L469" i="1"/>
  <c r="M469" i="1"/>
  <c r="N469" i="1"/>
  <c r="O469" i="1"/>
  <c r="Q469" i="1"/>
  <c r="A470" i="1"/>
  <c r="B470" i="1"/>
  <c r="C470" i="1"/>
  <c r="D470" i="1"/>
  <c r="E470" i="1"/>
  <c r="F470" i="1"/>
  <c r="H470" i="1"/>
  <c r="I470" i="1"/>
  <c r="J470" i="1"/>
  <c r="K470" i="1"/>
  <c r="L470" i="1"/>
  <c r="M470" i="1"/>
  <c r="N470" i="1"/>
  <c r="O470" i="1"/>
  <c r="Q470" i="1"/>
  <c r="A471" i="1"/>
  <c r="B471" i="1"/>
  <c r="C471" i="1"/>
  <c r="D471" i="1"/>
  <c r="E471" i="1"/>
  <c r="F471" i="1"/>
  <c r="H471" i="1"/>
  <c r="I471" i="1"/>
  <c r="J471" i="1"/>
  <c r="K471" i="1"/>
  <c r="L471" i="1"/>
  <c r="M471" i="1"/>
  <c r="N471" i="1"/>
  <c r="O471" i="1"/>
  <c r="Q471" i="1"/>
  <c r="A472" i="1"/>
  <c r="B472" i="1"/>
  <c r="C472" i="1"/>
  <c r="D472" i="1"/>
  <c r="E472" i="1"/>
  <c r="F472" i="1"/>
  <c r="H472" i="1"/>
  <c r="I472" i="1"/>
  <c r="J472" i="1"/>
  <c r="K472" i="1"/>
  <c r="L472" i="1"/>
  <c r="M472" i="1"/>
  <c r="N472" i="1"/>
  <c r="O472" i="1"/>
  <c r="Q472" i="1"/>
  <c r="A473" i="1"/>
  <c r="B473" i="1"/>
  <c r="C473" i="1"/>
  <c r="D473" i="1"/>
  <c r="E473" i="1"/>
  <c r="F473" i="1"/>
  <c r="H473" i="1"/>
  <c r="I473" i="1"/>
  <c r="J473" i="1"/>
  <c r="K473" i="1"/>
  <c r="L473" i="1"/>
  <c r="M473" i="1"/>
  <c r="N473" i="1"/>
  <c r="O473" i="1"/>
  <c r="Q473" i="1"/>
  <c r="A474" i="1"/>
  <c r="B474" i="1"/>
  <c r="C474" i="1"/>
  <c r="D474" i="1"/>
  <c r="E474" i="1"/>
  <c r="F474" i="1"/>
  <c r="H474" i="1"/>
  <c r="I474" i="1"/>
  <c r="J474" i="1"/>
  <c r="K474" i="1"/>
  <c r="L474" i="1"/>
  <c r="M474" i="1"/>
  <c r="N474" i="1"/>
  <c r="O474" i="1"/>
  <c r="Q474" i="1"/>
  <c r="A475" i="1"/>
  <c r="B475" i="1"/>
  <c r="C475" i="1"/>
  <c r="D475" i="1"/>
  <c r="E475" i="1"/>
  <c r="F475" i="1"/>
  <c r="H475" i="1"/>
  <c r="I475" i="1"/>
  <c r="J475" i="1"/>
  <c r="K475" i="1"/>
  <c r="L475" i="1"/>
  <c r="M475" i="1"/>
  <c r="N475" i="1"/>
  <c r="O475" i="1"/>
  <c r="Q475" i="1"/>
  <c r="A476" i="1"/>
  <c r="B476" i="1"/>
  <c r="C476" i="1"/>
  <c r="D476" i="1"/>
  <c r="E476" i="1"/>
  <c r="F476" i="1"/>
  <c r="H476" i="1"/>
  <c r="I476" i="1"/>
  <c r="J476" i="1"/>
  <c r="K476" i="1"/>
  <c r="L476" i="1"/>
  <c r="M476" i="1"/>
  <c r="N476" i="1"/>
  <c r="O476" i="1"/>
  <c r="Q476" i="1"/>
  <c r="A477" i="1"/>
  <c r="B477" i="1"/>
  <c r="C477" i="1"/>
  <c r="D477" i="1"/>
  <c r="E477" i="1"/>
  <c r="F477" i="1"/>
  <c r="H477" i="1"/>
  <c r="I477" i="1"/>
  <c r="J477" i="1"/>
  <c r="K477" i="1"/>
  <c r="L477" i="1"/>
  <c r="M477" i="1"/>
  <c r="N477" i="1"/>
  <c r="O477" i="1"/>
  <c r="Q477" i="1"/>
  <c r="A478" i="1"/>
  <c r="B478" i="1"/>
  <c r="C478" i="1"/>
  <c r="D478" i="1"/>
  <c r="E478" i="1"/>
  <c r="F478" i="1"/>
  <c r="H478" i="1"/>
  <c r="I478" i="1"/>
  <c r="J478" i="1"/>
  <c r="K478" i="1"/>
  <c r="L478" i="1"/>
  <c r="M478" i="1"/>
  <c r="N478" i="1"/>
  <c r="O478" i="1"/>
  <c r="Q478" i="1"/>
  <c r="A479" i="1"/>
  <c r="B479" i="1"/>
  <c r="C479" i="1"/>
  <c r="D479" i="1"/>
  <c r="E479" i="1"/>
  <c r="F479" i="1"/>
  <c r="H479" i="1"/>
  <c r="I479" i="1"/>
  <c r="J479" i="1"/>
  <c r="K479" i="1"/>
  <c r="L479" i="1"/>
  <c r="M479" i="1"/>
  <c r="N479" i="1"/>
  <c r="O479" i="1"/>
  <c r="Q479" i="1"/>
  <c r="A480" i="1"/>
  <c r="B480" i="1"/>
  <c r="C480" i="1"/>
  <c r="D480" i="1"/>
  <c r="E480" i="1"/>
  <c r="F480" i="1"/>
  <c r="H480" i="1"/>
  <c r="I480" i="1"/>
  <c r="J480" i="1"/>
  <c r="K480" i="1"/>
  <c r="L480" i="1"/>
  <c r="M480" i="1"/>
  <c r="N480" i="1"/>
  <c r="O480" i="1"/>
  <c r="Q480" i="1"/>
  <c r="A481" i="1"/>
  <c r="B481" i="1"/>
  <c r="C481" i="1"/>
  <c r="D481" i="1"/>
  <c r="E481" i="1"/>
  <c r="F481" i="1"/>
  <c r="H481" i="1"/>
  <c r="I481" i="1"/>
  <c r="J481" i="1"/>
  <c r="K481" i="1"/>
  <c r="L481" i="1"/>
  <c r="M481" i="1"/>
  <c r="N481" i="1"/>
  <c r="O481" i="1"/>
  <c r="Q481" i="1"/>
  <c r="A482" i="1"/>
  <c r="B482" i="1"/>
  <c r="C482" i="1"/>
  <c r="D482" i="1"/>
  <c r="E482" i="1"/>
  <c r="F482" i="1"/>
  <c r="H482" i="1"/>
  <c r="I482" i="1"/>
  <c r="J482" i="1"/>
  <c r="K482" i="1"/>
  <c r="L482" i="1"/>
  <c r="M482" i="1"/>
  <c r="N482" i="1"/>
  <c r="O482" i="1"/>
  <c r="Q482" i="1"/>
  <c r="A483" i="1"/>
  <c r="B483" i="1"/>
  <c r="C483" i="1"/>
  <c r="D483" i="1"/>
  <c r="E483" i="1"/>
  <c r="F483" i="1"/>
  <c r="H483" i="1"/>
  <c r="I483" i="1"/>
  <c r="J483" i="1"/>
  <c r="K483" i="1"/>
  <c r="L483" i="1"/>
  <c r="M483" i="1"/>
  <c r="N483" i="1"/>
  <c r="O483" i="1"/>
  <c r="Q483" i="1"/>
  <c r="A484" i="1"/>
  <c r="B484" i="1"/>
  <c r="C484" i="1"/>
  <c r="D484" i="1"/>
  <c r="E484" i="1"/>
  <c r="F484" i="1"/>
  <c r="H484" i="1"/>
  <c r="I484" i="1"/>
  <c r="J484" i="1"/>
  <c r="K484" i="1"/>
  <c r="L484" i="1"/>
  <c r="M484" i="1"/>
  <c r="N484" i="1"/>
  <c r="O484" i="1"/>
  <c r="Q484" i="1"/>
  <c r="A485" i="1"/>
  <c r="B485" i="1"/>
  <c r="C485" i="1"/>
  <c r="D485" i="1"/>
  <c r="E485" i="1"/>
  <c r="F485" i="1"/>
  <c r="H485" i="1"/>
  <c r="I485" i="1"/>
  <c r="J485" i="1"/>
  <c r="K485" i="1"/>
  <c r="L485" i="1"/>
  <c r="M485" i="1"/>
  <c r="N485" i="1"/>
  <c r="O485" i="1"/>
  <c r="Q485" i="1"/>
  <c r="A486" i="1"/>
  <c r="B486" i="1"/>
  <c r="C486" i="1"/>
  <c r="D486" i="1"/>
  <c r="E486" i="1"/>
  <c r="F486" i="1"/>
  <c r="H486" i="1"/>
  <c r="I486" i="1"/>
  <c r="J486" i="1"/>
  <c r="K486" i="1"/>
  <c r="L486" i="1"/>
  <c r="M486" i="1"/>
  <c r="N486" i="1"/>
  <c r="O486" i="1"/>
  <c r="Q486" i="1"/>
  <c r="A487" i="1"/>
  <c r="B487" i="1"/>
  <c r="C487" i="1"/>
  <c r="D487" i="1"/>
  <c r="E487" i="1"/>
  <c r="F487" i="1"/>
  <c r="H487" i="1"/>
  <c r="I487" i="1"/>
  <c r="J487" i="1"/>
  <c r="K487" i="1"/>
  <c r="L487" i="1"/>
  <c r="M487" i="1"/>
  <c r="N487" i="1"/>
  <c r="O487" i="1"/>
  <c r="Q487" i="1"/>
  <c r="A488" i="1"/>
  <c r="B488" i="1"/>
  <c r="C488" i="1"/>
  <c r="D488" i="1"/>
  <c r="E488" i="1"/>
  <c r="F488" i="1"/>
  <c r="H488" i="1"/>
  <c r="I488" i="1"/>
  <c r="J488" i="1"/>
  <c r="K488" i="1"/>
  <c r="L488" i="1"/>
  <c r="M488" i="1"/>
  <c r="N488" i="1"/>
  <c r="O488" i="1"/>
  <c r="Q488" i="1"/>
  <c r="A489" i="1"/>
  <c r="B489" i="1"/>
  <c r="C489" i="1"/>
  <c r="D489" i="1"/>
  <c r="E489" i="1"/>
  <c r="F489" i="1"/>
  <c r="H489" i="1"/>
  <c r="I489" i="1"/>
  <c r="J489" i="1"/>
  <c r="K489" i="1"/>
  <c r="L489" i="1"/>
  <c r="M489" i="1"/>
  <c r="N489" i="1"/>
  <c r="O489" i="1"/>
  <c r="Q489" i="1"/>
  <c r="A490" i="1"/>
  <c r="B490" i="1"/>
  <c r="C490" i="1"/>
  <c r="D490" i="1"/>
  <c r="E490" i="1"/>
  <c r="F490" i="1"/>
  <c r="H490" i="1"/>
  <c r="I490" i="1"/>
  <c r="J490" i="1"/>
  <c r="K490" i="1"/>
  <c r="L490" i="1"/>
  <c r="M490" i="1"/>
  <c r="N490" i="1"/>
  <c r="O490" i="1"/>
  <c r="Q490" i="1"/>
  <c r="A491" i="1"/>
  <c r="B491" i="1"/>
  <c r="C491" i="1"/>
  <c r="D491" i="1"/>
  <c r="E491" i="1"/>
  <c r="F491" i="1"/>
  <c r="H491" i="1"/>
  <c r="I491" i="1"/>
  <c r="J491" i="1"/>
  <c r="K491" i="1"/>
  <c r="L491" i="1"/>
  <c r="M491" i="1"/>
  <c r="N491" i="1"/>
  <c r="O491" i="1"/>
  <c r="Q491" i="1"/>
  <c r="A492" i="1"/>
  <c r="B492" i="1"/>
  <c r="C492" i="1"/>
  <c r="D492" i="1"/>
  <c r="E492" i="1"/>
  <c r="F492" i="1"/>
  <c r="H492" i="1"/>
  <c r="I492" i="1"/>
  <c r="J492" i="1"/>
  <c r="K492" i="1"/>
  <c r="L492" i="1"/>
  <c r="M492" i="1"/>
  <c r="N492" i="1"/>
  <c r="O492" i="1"/>
  <c r="Q492" i="1"/>
  <c r="A493" i="1"/>
  <c r="B493" i="1"/>
  <c r="C493" i="1"/>
  <c r="D493" i="1"/>
  <c r="E493" i="1"/>
  <c r="F493" i="1"/>
  <c r="H493" i="1"/>
  <c r="I493" i="1"/>
  <c r="J493" i="1"/>
  <c r="K493" i="1"/>
  <c r="L493" i="1"/>
  <c r="M493" i="1"/>
  <c r="N493" i="1"/>
  <c r="O493" i="1"/>
  <c r="Q493" i="1"/>
  <c r="A494" i="1"/>
  <c r="B494" i="1"/>
  <c r="C494" i="1"/>
  <c r="D494" i="1"/>
  <c r="E494" i="1"/>
  <c r="F494" i="1"/>
  <c r="H494" i="1"/>
  <c r="I494" i="1"/>
  <c r="J494" i="1"/>
  <c r="K494" i="1"/>
  <c r="L494" i="1"/>
  <c r="M494" i="1"/>
  <c r="N494" i="1"/>
  <c r="O494" i="1"/>
  <c r="Q494" i="1"/>
  <c r="A495" i="1"/>
  <c r="B495" i="1"/>
  <c r="C495" i="1"/>
  <c r="D495" i="1"/>
  <c r="E495" i="1"/>
  <c r="F495" i="1"/>
  <c r="H495" i="1"/>
  <c r="I495" i="1"/>
  <c r="J495" i="1"/>
  <c r="K495" i="1"/>
  <c r="L495" i="1"/>
  <c r="M495" i="1"/>
  <c r="N495" i="1"/>
  <c r="O495" i="1"/>
  <c r="Q495" i="1"/>
  <c r="A496" i="1"/>
  <c r="B496" i="1"/>
  <c r="C496" i="1"/>
  <c r="D496" i="1"/>
  <c r="E496" i="1"/>
  <c r="F496" i="1"/>
  <c r="H496" i="1"/>
  <c r="I496" i="1"/>
  <c r="J496" i="1"/>
  <c r="K496" i="1"/>
  <c r="L496" i="1"/>
  <c r="M496" i="1"/>
  <c r="N496" i="1"/>
  <c r="O496" i="1"/>
  <c r="Q496" i="1"/>
  <c r="A497" i="1"/>
  <c r="B497" i="1"/>
  <c r="C497" i="1"/>
  <c r="D497" i="1"/>
  <c r="E497" i="1"/>
  <c r="F497" i="1"/>
  <c r="H497" i="1"/>
  <c r="I497" i="1"/>
  <c r="J497" i="1"/>
  <c r="K497" i="1"/>
  <c r="L497" i="1"/>
  <c r="M497" i="1"/>
  <c r="N497" i="1"/>
  <c r="O497" i="1"/>
  <c r="Q497" i="1"/>
  <c r="A498" i="1"/>
  <c r="B498" i="1"/>
  <c r="C498" i="1"/>
  <c r="D498" i="1"/>
  <c r="E498" i="1"/>
  <c r="F498" i="1"/>
  <c r="H498" i="1"/>
  <c r="I498" i="1"/>
  <c r="J498" i="1"/>
  <c r="K498" i="1"/>
  <c r="L498" i="1"/>
  <c r="M498" i="1"/>
  <c r="N498" i="1"/>
  <c r="O498" i="1"/>
  <c r="Q498" i="1"/>
  <c r="A499" i="1"/>
  <c r="B499" i="1"/>
  <c r="C499" i="1"/>
  <c r="D499" i="1"/>
  <c r="E499" i="1"/>
  <c r="F499" i="1"/>
  <c r="H499" i="1"/>
  <c r="I499" i="1"/>
  <c r="J499" i="1"/>
  <c r="K499" i="1"/>
  <c r="L499" i="1"/>
  <c r="M499" i="1"/>
  <c r="N499" i="1"/>
  <c r="O499" i="1"/>
  <c r="Q499" i="1"/>
  <c r="A500" i="1"/>
  <c r="B500" i="1"/>
  <c r="C500" i="1"/>
  <c r="D500" i="1"/>
  <c r="E500" i="1"/>
  <c r="F500" i="1"/>
  <c r="H500" i="1"/>
  <c r="I500" i="1"/>
  <c r="J500" i="1"/>
  <c r="K500" i="1"/>
  <c r="L500" i="1"/>
  <c r="M500" i="1"/>
  <c r="N500" i="1"/>
  <c r="O500" i="1"/>
  <c r="Q500" i="1"/>
  <c r="A501" i="1"/>
  <c r="B501" i="1"/>
  <c r="C501" i="1"/>
  <c r="D501" i="1"/>
  <c r="E501" i="1"/>
  <c r="F501" i="1"/>
  <c r="H501" i="1"/>
  <c r="I501" i="1"/>
  <c r="J501" i="1"/>
  <c r="K501" i="1"/>
  <c r="L501" i="1"/>
  <c r="M501" i="1"/>
  <c r="N501" i="1"/>
  <c r="O501" i="1"/>
  <c r="Q501" i="1"/>
  <c r="A502" i="1"/>
  <c r="B502" i="1"/>
  <c r="C502" i="1"/>
  <c r="D502" i="1"/>
  <c r="E502" i="1"/>
  <c r="F502" i="1"/>
  <c r="H502" i="1"/>
  <c r="I502" i="1"/>
  <c r="J502" i="1"/>
  <c r="K502" i="1"/>
  <c r="L502" i="1"/>
  <c r="M502" i="1"/>
  <c r="N502" i="1"/>
  <c r="O502" i="1"/>
  <c r="Q502" i="1"/>
  <c r="A503" i="1"/>
  <c r="B503" i="1"/>
  <c r="C503" i="1"/>
  <c r="D503" i="1"/>
  <c r="E503" i="1"/>
  <c r="F503" i="1"/>
  <c r="H503" i="1"/>
  <c r="I503" i="1"/>
  <c r="J503" i="1"/>
  <c r="K503" i="1"/>
  <c r="L503" i="1"/>
  <c r="M503" i="1"/>
  <c r="N503" i="1"/>
  <c r="O503" i="1"/>
  <c r="Q503" i="1"/>
  <c r="A504" i="1"/>
  <c r="B504" i="1"/>
  <c r="C504" i="1"/>
  <c r="D504" i="1"/>
  <c r="E504" i="1"/>
  <c r="F504" i="1"/>
  <c r="H504" i="1"/>
  <c r="I504" i="1"/>
  <c r="J504" i="1"/>
  <c r="K504" i="1"/>
  <c r="L504" i="1"/>
  <c r="M504" i="1"/>
  <c r="N504" i="1"/>
  <c r="O504" i="1"/>
  <c r="Q504" i="1"/>
  <c r="A505" i="1"/>
  <c r="B505" i="1"/>
  <c r="C505" i="1"/>
  <c r="D505" i="1"/>
  <c r="E505" i="1"/>
  <c r="F505" i="1"/>
  <c r="H505" i="1"/>
  <c r="I505" i="1"/>
  <c r="J505" i="1"/>
  <c r="K505" i="1"/>
  <c r="L505" i="1"/>
  <c r="M505" i="1"/>
  <c r="N505" i="1"/>
  <c r="O505" i="1"/>
  <c r="Q505" i="1"/>
  <c r="A506" i="1"/>
  <c r="B506" i="1"/>
  <c r="C506" i="1"/>
  <c r="D506" i="1"/>
  <c r="E506" i="1"/>
  <c r="F506" i="1"/>
  <c r="H506" i="1"/>
  <c r="I506" i="1"/>
  <c r="J506" i="1"/>
  <c r="K506" i="1"/>
  <c r="L506" i="1"/>
  <c r="M506" i="1"/>
  <c r="N506" i="1"/>
  <c r="O506" i="1"/>
  <c r="Q506" i="1"/>
  <c r="A507" i="1"/>
  <c r="B507" i="1"/>
  <c r="C507" i="1"/>
  <c r="D507" i="1"/>
  <c r="E507" i="1"/>
  <c r="F507" i="1"/>
  <c r="H507" i="1"/>
  <c r="I507" i="1"/>
  <c r="J507" i="1"/>
  <c r="K507" i="1"/>
  <c r="L507" i="1"/>
  <c r="M507" i="1"/>
  <c r="N507" i="1"/>
  <c r="O507" i="1"/>
  <c r="Q507" i="1"/>
  <c r="A508" i="1"/>
  <c r="B508" i="1"/>
  <c r="C508" i="1"/>
  <c r="D508" i="1"/>
  <c r="E508" i="1"/>
  <c r="F508" i="1"/>
  <c r="H508" i="1"/>
  <c r="I508" i="1"/>
  <c r="J508" i="1"/>
  <c r="K508" i="1"/>
  <c r="L508" i="1"/>
  <c r="M508" i="1"/>
  <c r="N508" i="1"/>
  <c r="O508" i="1"/>
  <c r="Q508" i="1"/>
  <c r="A509" i="1"/>
  <c r="B509" i="1"/>
  <c r="C509" i="1"/>
  <c r="D509" i="1"/>
  <c r="E509" i="1"/>
  <c r="F509" i="1"/>
  <c r="H509" i="1"/>
  <c r="I509" i="1"/>
  <c r="J509" i="1"/>
  <c r="K509" i="1"/>
  <c r="L509" i="1"/>
  <c r="M509" i="1"/>
  <c r="N509" i="1"/>
  <c r="O509" i="1"/>
  <c r="Q509" i="1"/>
  <c r="A510" i="1"/>
  <c r="B510" i="1"/>
  <c r="C510" i="1"/>
  <c r="D510" i="1"/>
  <c r="E510" i="1"/>
  <c r="F510" i="1"/>
  <c r="H510" i="1"/>
  <c r="I510" i="1"/>
  <c r="J510" i="1"/>
  <c r="K510" i="1"/>
  <c r="L510" i="1"/>
  <c r="M510" i="1"/>
  <c r="N510" i="1"/>
  <c r="O510" i="1"/>
  <c r="Q510" i="1"/>
  <c r="A511" i="1"/>
  <c r="B511" i="1"/>
  <c r="C511" i="1"/>
  <c r="D511" i="1"/>
  <c r="E511" i="1"/>
  <c r="F511" i="1"/>
  <c r="H511" i="1"/>
  <c r="I511" i="1"/>
  <c r="J511" i="1"/>
  <c r="K511" i="1"/>
  <c r="L511" i="1"/>
  <c r="M511" i="1"/>
  <c r="N511" i="1"/>
  <c r="O511" i="1"/>
  <c r="Q511" i="1"/>
  <c r="A512" i="1"/>
  <c r="B512" i="1"/>
  <c r="C512" i="1"/>
  <c r="D512" i="1"/>
  <c r="E512" i="1"/>
  <c r="F512" i="1"/>
  <c r="H512" i="1"/>
  <c r="I512" i="1"/>
  <c r="J512" i="1"/>
  <c r="K512" i="1"/>
  <c r="L512" i="1"/>
  <c r="M512" i="1"/>
  <c r="N512" i="1"/>
  <c r="O512" i="1"/>
  <c r="Q512" i="1"/>
  <c r="A513" i="1"/>
  <c r="B513" i="1"/>
  <c r="C513" i="1"/>
  <c r="D513" i="1"/>
  <c r="E513" i="1"/>
  <c r="F513" i="1"/>
  <c r="H513" i="1"/>
  <c r="I513" i="1"/>
  <c r="J513" i="1"/>
  <c r="K513" i="1"/>
  <c r="L513" i="1"/>
  <c r="M513" i="1"/>
  <c r="N513" i="1"/>
  <c r="O513" i="1"/>
  <c r="Q513" i="1"/>
  <c r="A514" i="1"/>
  <c r="B514" i="1"/>
  <c r="C514" i="1"/>
  <c r="D514" i="1"/>
  <c r="E514" i="1"/>
  <c r="F514" i="1"/>
  <c r="H514" i="1"/>
  <c r="I514" i="1"/>
  <c r="J514" i="1"/>
  <c r="K514" i="1"/>
  <c r="L514" i="1"/>
  <c r="M514" i="1"/>
  <c r="N514" i="1"/>
  <c r="O514" i="1"/>
  <c r="Q514" i="1"/>
  <c r="A515" i="1"/>
  <c r="B515" i="1"/>
  <c r="C515" i="1"/>
  <c r="D515" i="1"/>
  <c r="E515" i="1"/>
  <c r="F515" i="1"/>
  <c r="H515" i="1"/>
  <c r="I515" i="1"/>
  <c r="J515" i="1"/>
  <c r="K515" i="1"/>
  <c r="L515" i="1"/>
  <c r="M515" i="1"/>
  <c r="N515" i="1"/>
  <c r="O515" i="1"/>
  <c r="Q515" i="1"/>
  <c r="A516" i="1"/>
  <c r="B516" i="1"/>
  <c r="C516" i="1"/>
  <c r="D516" i="1"/>
  <c r="E516" i="1"/>
  <c r="F516" i="1"/>
  <c r="H516" i="1"/>
  <c r="I516" i="1"/>
  <c r="J516" i="1"/>
  <c r="K516" i="1"/>
  <c r="L516" i="1"/>
  <c r="M516" i="1"/>
  <c r="N516" i="1"/>
  <c r="O516" i="1"/>
  <c r="Q516" i="1"/>
  <c r="A517" i="1"/>
  <c r="B517" i="1"/>
  <c r="C517" i="1"/>
  <c r="D517" i="1"/>
  <c r="E517" i="1"/>
  <c r="F517" i="1"/>
  <c r="H517" i="1"/>
  <c r="I517" i="1"/>
  <c r="J517" i="1"/>
  <c r="K517" i="1"/>
  <c r="L517" i="1"/>
  <c r="M517" i="1"/>
  <c r="N517" i="1"/>
  <c r="O517" i="1"/>
  <c r="Q517" i="1"/>
  <c r="A518" i="1"/>
  <c r="B518" i="1"/>
  <c r="C518" i="1"/>
  <c r="D518" i="1"/>
  <c r="E518" i="1"/>
  <c r="F518" i="1"/>
  <c r="H518" i="1"/>
  <c r="I518" i="1"/>
  <c r="J518" i="1"/>
  <c r="K518" i="1"/>
  <c r="L518" i="1"/>
  <c r="M518" i="1"/>
  <c r="N518" i="1"/>
  <c r="O518" i="1"/>
  <c r="Q518" i="1"/>
  <c r="A519" i="1"/>
  <c r="B519" i="1"/>
  <c r="C519" i="1"/>
  <c r="D519" i="1"/>
  <c r="E519" i="1"/>
  <c r="F519" i="1"/>
  <c r="H519" i="1"/>
  <c r="I519" i="1"/>
  <c r="J519" i="1"/>
  <c r="K519" i="1"/>
  <c r="L519" i="1"/>
  <c r="M519" i="1"/>
  <c r="N519" i="1"/>
  <c r="O519" i="1"/>
  <c r="Q519" i="1"/>
  <c r="A520" i="1"/>
  <c r="B520" i="1"/>
  <c r="C520" i="1"/>
  <c r="D520" i="1"/>
  <c r="E520" i="1"/>
  <c r="F520" i="1"/>
  <c r="H520" i="1"/>
  <c r="I520" i="1"/>
  <c r="J520" i="1"/>
  <c r="K520" i="1"/>
  <c r="L520" i="1"/>
  <c r="M520" i="1"/>
  <c r="N520" i="1"/>
  <c r="O520" i="1"/>
  <c r="Q520" i="1"/>
  <c r="A521" i="1"/>
  <c r="B521" i="1"/>
  <c r="C521" i="1"/>
  <c r="D521" i="1"/>
  <c r="E521" i="1"/>
  <c r="F521" i="1"/>
  <c r="H521" i="1"/>
  <c r="I521" i="1"/>
  <c r="J521" i="1"/>
  <c r="K521" i="1"/>
  <c r="L521" i="1"/>
  <c r="M521" i="1"/>
  <c r="N521" i="1"/>
  <c r="O521" i="1"/>
  <c r="Q521" i="1"/>
  <c r="A522" i="1"/>
  <c r="B522" i="1"/>
  <c r="C522" i="1"/>
  <c r="D522" i="1"/>
  <c r="E522" i="1"/>
  <c r="F522" i="1"/>
  <c r="H522" i="1"/>
  <c r="I522" i="1"/>
  <c r="J522" i="1"/>
  <c r="K522" i="1"/>
  <c r="L522" i="1"/>
  <c r="M522" i="1"/>
  <c r="N522" i="1"/>
  <c r="O522" i="1"/>
  <c r="Q522" i="1"/>
  <c r="A523" i="1"/>
  <c r="B523" i="1"/>
  <c r="C523" i="1"/>
  <c r="D523" i="1"/>
  <c r="E523" i="1"/>
  <c r="F523" i="1"/>
  <c r="H523" i="1"/>
  <c r="I523" i="1"/>
  <c r="J523" i="1"/>
  <c r="K523" i="1"/>
  <c r="L523" i="1"/>
  <c r="M523" i="1"/>
  <c r="N523" i="1"/>
  <c r="O523" i="1"/>
  <c r="Q523" i="1"/>
  <c r="A524" i="1"/>
  <c r="B524" i="1"/>
  <c r="C524" i="1"/>
  <c r="D524" i="1"/>
  <c r="E524" i="1"/>
  <c r="F524" i="1"/>
  <c r="H524" i="1"/>
  <c r="I524" i="1"/>
  <c r="J524" i="1"/>
  <c r="K524" i="1"/>
  <c r="L524" i="1"/>
  <c r="M524" i="1"/>
  <c r="N524" i="1"/>
  <c r="O524" i="1"/>
  <c r="Q524" i="1"/>
  <c r="A525" i="1"/>
  <c r="B525" i="1"/>
  <c r="C525" i="1"/>
  <c r="D525" i="1"/>
  <c r="E525" i="1"/>
  <c r="F525" i="1"/>
  <c r="H525" i="1"/>
  <c r="I525" i="1"/>
  <c r="J525" i="1"/>
  <c r="K525" i="1"/>
  <c r="L525" i="1"/>
  <c r="M525" i="1"/>
  <c r="N525" i="1"/>
  <c r="O525" i="1"/>
  <c r="Q525" i="1"/>
  <c r="A526" i="1"/>
  <c r="B526" i="1"/>
  <c r="C526" i="1"/>
  <c r="D526" i="1"/>
  <c r="E526" i="1"/>
  <c r="F526" i="1"/>
  <c r="H526" i="1"/>
  <c r="I526" i="1"/>
  <c r="J526" i="1"/>
  <c r="K526" i="1"/>
  <c r="L526" i="1"/>
  <c r="M526" i="1"/>
  <c r="N526" i="1"/>
  <c r="O526" i="1"/>
  <c r="Q526" i="1"/>
  <c r="A527" i="1"/>
  <c r="B527" i="1"/>
  <c r="C527" i="1"/>
  <c r="D527" i="1"/>
  <c r="E527" i="1"/>
  <c r="F527" i="1"/>
  <c r="H527" i="1"/>
  <c r="I527" i="1"/>
  <c r="J527" i="1"/>
  <c r="K527" i="1"/>
  <c r="L527" i="1"/>
  <c r="M527" i="1"/>
  <c r="N527" i="1"/>
  <c r="O527" i="1"/>
  <c r="Q527" i="1"/>
  <c r="A528" i="1"/>
  <c r="B528" i="1"/>
  <c r="C528" i="1"/>
  <c r="D528" i="1"/>
  <c r="E528" i="1"/>
  <c r="F528" i="1"/>
  <c r="H528" i="1"/>
  <c r="I528" i="1"/>
  <c r="J528" i="1"/>
  <c r="K528" i="1"/>
  <c r="L528" i="1"/>
  <c r="M528" i="1"/>
  <c r="N528" i="1"/>
  <c r="O528" i="1"/>
  <c r="Q528" i="1"/>
  <c r="A529" i="1"/>
  <c r="B529" i="1"/>
  <c r="C529" i="1"/>
  <c r="D529" i="1"/>
  <c r="E529" i="1"/>
  <c r="F529" i="1"/>
  <c r="H529" i="1"/>
  <c r="I529" i="1"/>
  <c r="J529" i="1"/>
  <c r="K529" i="1"/>
  <c r="L529" i="1"/>
  <c r="M529" i="1"/>
  <c r="N529" i="1"/>
  <c r="O529" i="1"/>
  <c r="Q529" i="1"/>
  <c r="A530" i="1"/>
  <c r="B530" i="1"/>
  <c r="C530" i="1"/>
  <c r="D530" i="1"/>
  <c r="E530" i="1"/>
  <c r="F530" i="1"/>
  <c r="H530" i="1"/>
  <c r="I530" i="1"/>
  <c r="J530" i="1"/>
  <c r="K530" i="1"/>
  <c r="L530" i="1"/>
  <c r="M530" i="1"/>
  <c r="N530" i="1"/>
  <c r="O530" i="1"/>
  <c r="Q530" i="1"/>
  <c r="A531" i="1"/>
  <c r="B531" i="1"/>
  <c r="C531" i="1"/>
  <c r="D531" i="1"/>
  <c r="E531" i="1"/>
  <c r="F531" i="1"/>
  <c r="H531" i="1"/>
  <c r="I531" i="1"/>
  <c r="J531" i="1"/>
  <c r="K531" i="1"/>
  <c r="L531" i="1"/>
  <c r="M531" i="1"/>
  <c r="N531" i="1"/>
  <c r="O531" i="1"/>
  <c r="Q531" i="1"/>
  <c r="A532" i="1"/>
  <c r="B532" i="1"/>
  <c r="C532" i="1"/>
  <c r="D532" i="1"/>
  <c r="E532" i="1"/>
  <c r="F532" i="1"/>
  <c r="H532" i="1"/>
  <c r="I532" i="1"/>
  <c r="J532" i="1"/>
  <c r="K532" i="1"/>
  <c r="L532" i="1"/>
  <c r="M532" i="1"/>
  <c r="N532" i="1"/>
  <c r="O532" i="1"/>
  <c r="Q532" i="1"/>
  <c r="A533" i="1"/>
  <c r="B533" i="1"/>
  <c r="C533" i="1"/>
  <c r="D533" i="1"/>
  <c r="E533" i="1"/>
  <c r="F533" i="1"/>
  <c r="H533" i="1"/>
  <c r="I533" i="1"/>
  <c r="J533" i="1"/>
  <c r="K533" i="1"/>
  <c r="L533" i="1"/>
  <c r="M533" i="1"/>
  <c r="N533" i="1"/>
  <c r="O533" i="1"/>
  <c r="Q533" i="1"/>
  <c r="A534" i="1"/>
  <c r="B534" i="1"/>
  <c r="C534" i="1"/>
  <c r="D534" i="1"/>
  <c r="E534" i="1"/>
  <c r="F534" i="1"/>
  <c r="H534" i="1"/>
  <c r="I534" i="1"/>
  <c r="J534" i="1"/>
  <c r="K534" i="1"/>
  <c r="L534" i="1"/>
  <c r="M534" i="1"/>
  <c r="N534" i="1"/>
  <c r="O534" i="1"/>
  <c r="Q534" i="1"/>
  <c r="A535" i="1"/>
  <c r="B535" i="1"/>
  <c r="C535" i="1"/>
  <c r="D535" i="1"/>
  <c r="E535" i="1"/>
  <c r="F535" i="1"/>
  <c r="H535" i="1"/>
  <c r="I535" i="1"/>
  <c r="J535" i="1"/>
  <c r="K535" i="1"/>
  <c r="L535" i="1"/>
  <c r="M535" i="1"/>
  <c r="N535" i="1"/>
  <c r="O535" i="1"/>
  <c r="Q535" i="1"/>
  <c r="A536" i="1"/>
  <c r="B536" i="1"/>
  <c r="C536" i="1"/>
  <c r="D536" i="1"/>
  <c r="E536" i="1"/>
  <c r="F536" i="1"/>
  <c r="H536" i="1"/>
  <c r="I536" i="1"/>
  <c r="J536" i="1"/>
  <c r="K536" i="1"/>
  <c r="L536" i="1"/>
  <c r="M536" i="1"/>
  <c r="N536" i="1"/>
  <c r="O536" i="1"/>
  <c r="Q536" i="1"/>
  <c r="A537" i="1"/>
  <c r="B537" i="1"/>
  <c r="C537" i="1"/>
  <c r="D537" i="1"/>
  <c r="E537" i="1"/>
  <c r="F537" i="1"/>
  <c r="H537" i="1"/>
  <c r="I537" i="1"/>
  <c r="J537" i="1"/>
  <c r="K537" i="1"/>
  <c r="L537" i="1"/>
  <c r="M537" i="1"/>
  <c r="N537" i="1"/>
  <c r="O537" i="1"/>
  <c r="Q537" i="1"/>
  <c r="A538" i="1"/>
  <c r="B538" i="1"/>
  <c r="C538" i="1"/>
  <c r="D538" i="1"/>
  <c r="E538" i="1"/>
  <c r="F538" i="1"/>
  <c r="H538" i="1"/>
  <c r="I538" i="1"/>
  <c r="J538" i="1"/>
  <c r="K538" i="1"/>
  <c r="L538" i="1"/>
  <c r="M538" i="1"/>
  <c r="N538" i="1"/>
  <c r="O538" i="1"/>
  <c r="Q538" i="1"/>
  <c r="A539" i="1"/>
  <c r="B539" i="1"/>
  <c r="C539" i="1"/>
  <c r="D539" i="1"/>
  <c r="E539" i="1"/>
  <c r="F539" i="1"/>
  <c r="H539" i="1"/>
  <c r="I539" i="1"/>
  <c r="J539" i="1"/>
  <c r="K539" i="1"/>
  <c r="L539" i="1"/>
  <c r="M539" i="1"/>
  <c r="N539" i="1"/>
  <c r="O539" i="1"/>
  <c r="Q539" i="1"/>
  <c r="A540" i="1"/>
  <c r="B540" i="1"/>
  <c r="C540" i="1"/>
  <c r="D540" i="1"/>
  <c r="E540" i="1"/>
  <c r="F540" i="1"/>
  <c r="H540" i="1"/>
  <c r="I540" i="1"/>
  <c r="J540" i="1"/>
  <c r="K540" i="1"/>
  <c r="L540" i="1"/>
  <c r="M540" i="1"/>
  <c r="N540" i="1"/>
  <c r="O540" i="1"/>
  <c r="Q540" i="1"/>
  <c r="A541" i="1"/>
  <c r="B541" i="1"/>
  <c r="C541" i="1"/>
  <c r="D541" i="1"/>
  <c r="E541" i="1"/>
  <c r="F541" i="1"/>
  <c r="H541" i="1"/>
  <c r="I541" i="1"/>
  <c r="J541" i="1"/>
  <c r="K541" i="1"/>
  <c r="L541" i="1"/>
  <c r="M541" i="1"/>
  <c r="N541" i="1"/>
  <c r="O541" i="1"/>
  <c r="Q541" i="1"/>
  <c r="A542" i="1"/>
  <c r="B542" i="1"/>
  <c r="C542" i="1"/>
  <c r="D542" i="1"/>
  <c r="E542" i="1"/>
  <c r="F542" i="1"/>
  <c r="H542" i="1"/>
  <c r="I542" i="1"/>
  <c r="J542" i="1"/>
  <c r="K542" i="1"/>
  <c r="L542" i="1"/>
  <c r="M542" i="1"/>
  <c r="N542" i="1"/>
  <c r="O542" i="1"/>
  <c r="Q542" i="1"/>
  <c r="A543" i="1"/>
  <c r="B543" i="1"/>
  <c r="C543" i="1"/>
  <c r="D543" i="1"/>
  <c r="E543" i="1"/>
  <c r="F543" i="1"/>
  <c r="H543" i="1"/>
  <c r="I543" i="1"/>
  <c r="J543" i="1"/>
  <c r="K543" i="1"/>
  <c r="L543" i="1"/>
  <c r="M543" i="1"/>
  <c r="N543" i="1"/>
  <c r="O543" i="1"/>
  <c r="Q543" i="1"/>
  <c r="A544" i="1"/>
  <c r="B544" i="1"/>
  <c r="C544" i="1"/>
  <c r="D544" i="1"/>
  <c r="E544" i="1"/>
  <c r="F544" i="1"/>
  <c r="H544" i="1"/>
  <c r="I544" i="1"/>
  <c r="J544" i="1"/>
  <c r="K544" i="1"/>
  <c r="L544" i="1"/>
  <c r="M544" i="1"/>
  <c r="N544" i="1"/>
  <c r="O544" i="1"/>
  <c r="Q544" i="1"/>
  <c r="A545" i="1"/>
  <c r="B545" i="1"/>
  <c r="C545" i="1"/>
  <c r="D545" i="1"/>
  <c r="E545" i="1"/>
  <c r="F545" i="1"/>
  <c r="H545" i="1"/>
  <c r="I545" i="1"/>
  <c r="J545" i="1"/>
  <c r="K545" i="1"/>
  <c r="L545" i="1"/>
  <c r="M545" i="1"/>
  <c r="N545" i="1"/>
  <c r="O545" i="1"/>
  <c r="Q545" i="1"/>
  <c r="A546" i="1"/>
  <c r="B546" i="1"/>
  <c r="C546" i="1"/>
  <c r="D546" i="1"/>
  <c r="E546" i="1"/>
  <c r="F546" i="1"/>
  <c r="H546" i="1"/>
  <c r="I546" i="1"/>
  <c r="J546" i="1"/>
  <c r="K546" i="1"/>
  <c r="L546" i="1"/>
  <c r="M546" i="1"/>
  <c r="N546" i="1"/>
  <c r="O546" i="1"/>
  <c r="Q546" i="1"/>
  <c r="A547" i="1"/>
  <c r="B547" i="1"/>
  <c r="C547" i="1"/>
  <c r="D547" i="1"/>
  <c r="E547" i="1"/>
  <c r="F547" i="1"/>
  <c r="H547" i="1"/>
  <c r="I547" i="1"/>
  <c r="J547" i="1"/>
  <c r="K547" i="1"/>
  <c r="L547" i="1"/>
  <c r="M547" i="1"/>
  <c r="N547" i="1"/>
  <c r="O547" i="1"/>
  <c r="Q547" i="1"/>
  <c r="A548" i="1"/>
  <c r="B548" i="1"/>
  <c r="C548" i="1"/>
  <c r="D548" i="1"/>
  <c r="E548" i="1"/>
  <c r="F548" i="1"/>
  <c r="H548" i="1"/>
  <c r="I548" i="1"/>
  <c r="J548" i="1"/>
  <c r="K548" i="1"/>
  <c r="L548" i="1"/>
  <c r="M548" i="1"/>
  <c r="N548" i="1"/>
  <c r="O548" i="1"/>
  <c r="Q548" i="1"/>
  <c r="A549" i="1"/>
  <c r="B549" i="1"/>
  <c r="C549" i="1"/>
  <c r="D549" i="1"/>
  <c r="E549" i="1"/>
  <c r="F549" i="1"/>
  <c r="H549" i="1"/>
  <c r="I549" i="1"/>
  <c r="J549" i="1"/>
  <c r="K549" i="1"/>
  <c r="L549" i="1"/>
  <c r="M549" i="1"/>
  <c r="N549" i="1"/>
  <c r="O549" i="1"/>
  <c r="Q549" i="1"/>
  <c r="A550" i="1"/>
  <c r="B550" i="1"/>
  <c r="C550" i="1"/>
  <c r="D550" i="1"/>
  <c r="E550" i="1"/>
  <c r="F550" i="1"/>
  <c r="H550" i="1"/>
  <c r="I550" i="1"/>
  <c r="J550" i="1"/>
  <c r="K550" i="1"/>
  <c r="L550" i="1"/>
  <c r="M550" i="1"/>
  <c r="N550" i="1"/>
  <c r="O550" i="1"/>
  <c r="Q550" i="1"/>
  <c r="A551" i="1"/>
  <c r="B551" i="1"/>
  <c r="C551" i="1"/>
  <c r="D551" i="1"/>
  <c r="E551" i="1"/>
  <c r="F551" i="1"/>
  <c r="H551" i="1"/>
  <c r="I551" i="1"/>
  <c r="J551" i="1"/>
  <c r="K551" i="1"/>
  <c r="L551" i="1"/>
  <c r="M551" i="1"/>
  <c r="N551" i="1"/>
  <c r="O551" i="1"/>
  <c r="Q551" i="1"/>
  <c r="A552" i="1"/>
  <c r="B552" i="1"/>
  <c r="C552" i="1"/>
  <c r="D552" i="1"/>
  <c r="E552" i="1"/>
  <c r="F552" i="1"/>
  <c r="H552" i="1"/>
  <c r="I552" i="1"/>
  <c r="J552" i="1"/>
  <c r="K552" i="1"/>
  <c r="L552" i="1"/>
  <c r="M552" i="1"/>
  <c r="N552" i="1"/>
  <c r="O552" i="1"/>
  <c r="Q552" i="1"/>
  <c r="A553" i="1"/>
  <c r="B553" i="1"/>
  <c r="C553" i="1"/>
  <c r="D553" i="1"/>
  <c r="E553" i="1"/>
  <c r="F553" i="1"/>
  <c r="H553" i="1"/>
  <c r="I553" i="1"/>
  <c r="J553" i="1"/>
  <c r="K553" i="1"/>
  <c r="L553" i="1"/>
  <c r="M553" i="1"/>
  <c r="N553" i="1"/>
  <c r="O553" i="1"/>
  <c r="Q553" i="1"/>
  <c r="A554" i="1"/>
  <c r="B554" i="1"/>
  <c r="C554" i="1"/>
  <c r="D554" i="1"/>
  <c r="E554" i="1"/>
  <c r="F554" i="1"/>
  <c r="H554" i="1"/>
  <c r="I554" i="1"/>
  <c r="J554" i="1"/>
  <c r="K554" i="1"/>
  <c r="L554" i="1"/>
  <c r="M554" i="1"/>
  <c r="N554" i="1"/>
  <c r="O554" i="1"/>
  <c r="Q554" i="1"/>
  <c r="A555" i="1"/>
  <c r="B555" i="1"/>
  <c r="C555" i="1"/>
  <c r="D555" i="1"/>
  <c r="E555" i="1"/>
  <c r="F555" i="1"/>
  <c r="H555" i="1"/>
  <c r="I555" i="1"/>
  <c r="J555" i="1"/>
  <c r="K555" i="1"/>
  <c r="L555" i="1"/>
  <c r="M555" i="1"/>
  <c r="N555" i="1"/>
  <c r="O555" i="1"/>
  <c r="Q555" i="1"/>
  <c r="A556" i="1"/>
  <c r="B556" i="1"/>
  <c r="C556" i="1"/>
  <c r="D556" i="1"/>
  <c r="E556" i="1"/>
  <c r="F556" i="1"/>
  <c r="H556" i="1"/>
  <c r="I556" i="1"/>
  <c r="J556" i="1"/>
  <c r="K556" i="1"/>
  <c r="L556" i="1"/>
  <c r="M556" i="1"/>
  <c r="N556" i="1"/>
  <c r="O556" i="1"/>
  <c r="Q556" i="1"/>
  <c r="A557" i="1"/>
  <c r="B557" i="1"/>
  <c r="C557" i="1"/>
  <c r="D557" i="1"/>
  <c r="E557" i="1"/>
  <c r="F557" i="1"/>
  <c r="H557" i="1"/>
  <c r="I557" i="1"/>
  <c r="J557" i="1"/>
  <c r="K557" i="1"/>
  <c r="L557" i="1"/>
  <c r="M557" i="1"/>
  <c r="N557" i="1"/>
  <c r="O557" i="1"/>
  <c r="Q557" i="1"/>
  <c r="A558" i="1"/>
  <c r="B558" i="1"/>
  <c r="C558" i="1"/>
  <c r="D558" i="1"/>
  <c r="E558" i="1"/>
  <c r="F558" i="1"/>
  <c r="H558" i="1"/>
  <c r="I558" i="1"/>
  <c r="J558" i="1"/>
  <c r="K558" i="1"/>
  <c r="L558" i="1"/>
  <c r="M558" i="1"/>
  <c r="N558" i="1"/>
  <c r="O558" i="1"/>
  <c r="Q558" i="1"/>
  <c r="A559" i="1"/>
  <c r="B559" i="1"/>
  <c r="C559" i="1"/>
  <c r="D559" i="1"/>
  <c r="E559" i="1"/>
  <c r="F559" i="1"/>
  <c r="H559" i="1"/>
  <c r="I559" i="1"/>
  <c r="J559" i="1"/>
  <c r="K559" i="1"/>
  <c r="L559" i="1"/>
  <c r="M559" i="1"/>
  <c r="N559" i="1"/>
  <c r="O559" i="1"/>
  <c r="Q559" i="1"/>
  <c r="A560" i="1"/>
  <c r="B560" i="1"/>
  <c r="C560" i="1"/>
  <c r="D560" i="1"/>
  <c r="E560" i="1"/>
  <c r="F560" i="1"/>
  <c r="H560" i="1"/>
  <c r="I560" i="1"/>
  <c r="J560" i="1"/>
  <c r="K560" i="1"/>
  <c r="L560" i="1"/>
  <c r="M560" i="1"/>
  <c r="N560" i="1"/>
  <c r="O560" i="1"/>
  <c r="Q560" i="1"/>
  <c r="A561" i="1"/>
  <c r="B561" i="1"/>
  <c r="C561" i="1"/>
  <c r="D561" i="1"/>
  <c r="E561" i="1"/>
  <c r="F561" i="1"/>
  <c r="H561" i="1"/>
  <c r="I561" i="1"/>
  <c r="J561" i="1"/>
  <c r="K561" i="1"/>
  <c r="L561" i="1"/>
  <c r="M561" i="1"/>
  <c r="N561" i="1"/>
  <c r="O561" i="1"/>
  <c r="Q561" i="1"/>
  <c r="A562" i="1"/>
  <c r="B562" i="1"/>
  <c r="C562" i="1"/>
  <c r="D562" i="1"/>
  <c r="E562" i="1"/>
  <c r="F562" i="1"/>
  <c r="H562" i="1"/>
  <c r="I562" i="1"/>
  <c r="J562" i="1"/>
  <c r="K562" i="1"/>
  <c r="L562" i="1"/>
  <c r="M562" i="1"/>
  <c r="N562" i="1"/>
  <c r="O562" i="1"/>
  <c r="Q562" i="1"/>
  <c r="A563" i="1"/>
  <c r="B563" i="1"/>
  <c r="C563" i="1"/>
  <c r="D563" i="1"/>
  <c r="E563" i="1"/>
  <c r="F563" i="1"/>
  <c r="H563" i="1"/>
  <c r="I563" i="1"/>
  <c r="J563" i="1"/>
  <c r="K563" i="1"/>
  <c r="L563" i="1"/>
  <c r="M563" i="1"/>
  <c r="N563" i="1"/>
  <c r="O563" i="1"/>
  <c r="Q563" i="1"/>
  <c r="A564" i="1"/>
  <c r="B564" i="1"/>
  <c r="C564" i="1"/>
  <c r="D564" i="1"/>
  <c r="E564" i="1"/>
  <c r="F564" i="1"/>
  <c r="H564" i="1"/>
  <c r="I564" i="1"/>
  <c r="J564" i="1"/>
  <c r="K564" i="1"/>
  <c r="L564" i="1"/>
  <c r="M564" i="1"/>
  <c r="N564" i="1"/>
  <c r="O564" i="1"/>
  <c r="Q564" i="1"/>
  <c r="A565" i="1"/>
  <c r="B565" i="1"/>
  <c r="C565" i="1"/>
  <c r="D565" i="1"/>
  <c r="E565" i="1"/>
  <c r="F565" i="1"/>
  <c r="H565" i="1"/>
  <c r="I565" i="1"/>
  <c r="J565" i="1"/>
  <c r="K565" i="1"/>
  <c r="L565" i="1"/>
  <c r="M565" i="1"/>
  <c r="N565" i="1"/>
  <c r="O565" i="1"/>
  <c r="Q565" i="1"/>
  <c r="A566" i="1"/>
  <c r="B566" i="1"/>
  <c r="C566" i="1"/>
  <c r="D566" i="1"/>
  <c r="E566" i="1"/>
  <c r="F566" i="1"/>
  <c r="H566" i="1"/>
  <c r="I566" i="1"/>
  <c r="J566" i="1"/>
  <c r="K566" i="1"/>
  <c r="L566" i="1"/>
  <c r="M566" i="1"/>
  <c r="N566" i="1"/>
  <c r="O566" i="1"/>
  <c r="Q566" i="1"/>
  <c r="A567" i="1"/>
  <c r="B567" i="1"/>
  <c r="C567" i="1"/>
  <c r="D567" i="1"/>
  <c r="E567" i="1"/>
  <c r="F567" i="1"/>
  <c r="H567" i="1"/>
  <c r="I567" i="1"/>
  <c r="J567" i="1"/>
  <c r="K567" i="1"/>
  <c r="L567" i="1"/>
  <c r="M567" i="1"/>
  <c r="N567" i="1"/>
  <c r="O567" i="1"/>
  <c r="Q567" i="1"/>
  <c r="A568" i="1"/>
  <c r="B568" i="1"/>
  <c r="C568" i="1"/>
  <c r="D568" i="1"/>
  <c r="E568" i="1"/>
  <c r="F568" i="1"/>
  <c r="H568" i="1"/>
  <c r="I568" i="1"/>
  <c r="J568" i="1"/>
  <c r="K568" i="1"/>
  <c r="L568" i="1"/>
  <c r="M568" i="1"/>
  <c r="N568" i="1"/>
  <c r="O568" i="1"/>
  <c r="Q568" i="1"/>
  <c r="A569" i="1"/>
  <c r="B569" i="1"/>
  <c r="C569" i="1"/>
  <c r="D569" i="1"/>
  <c r="E569" i="1"/>
  <c r="F569" i="1"/>
  <c r="H569" i="1"/>
  <c r="I569" i="1"/>
  <c r="J569" i="1"/>
  <c r="K569" i="1"/>
  <c r="L569" i="1"/>
  <c r="M569" i="1"/>
  <c r="N569" i="1"/>
  <c r="O569" i="1"/>
  <c r="Q569" i="1"/>
  <c r="A570" i="1"/>
  <c r="B570" i="1"/>
  <c r="C570" i="1"/>
  <c r="D570" i="1"/>
  <c r="E570" i="1"/>
  <c r="F570" i="1"/>
  <c r="H570" i="1"/>
  <c r="I570" i="1"/>
  <c r="J570" i="1"/>
  <c r="K570" i="1"/>
  <c r="L570" i="1"/>
  <c r="M570" i="1"/>
  <c r="N570" i="1"/>
  <c r="O570" i="1"/>
  <c r="Q570" i="1"/>
  <c r="A571" i="1"/>
  <c r="B571" i="1"/>
  <c r="C571" i="1"/>
  <c r="D571" i="1"/>
  <c r="E571" i="1"/>
  <c r="F571" i="1"/>
  <c r="H571" i="1"/>
  <c r="I571" i="1"/>
  <c r="J571" i="1"/>
  <c r="K571" i="1"/>
  <c r="L571" i="1"/>
  <c r="M571" i="1"/>
  <c r="N571" i="1"/>
  <c r="O571" i="1"/>
  <c r="Q571" i="1"/>
  <c r="A572" i="1"/>
  <c r="B572" i="1"/>
  <c r="C572" i="1"/>
  <c r="D572" i="1"/>
  <c r="E572" i="1"/>
  <c r="F572" i="1"/>
  <c r="H572" i="1"/>
  <c r="I572" i="1"/>
  <c r="J572" i="1"/>
  <c r="K572" i="1"/>
  <c r="L572" i="1"/>
  <c r="M572" i="1"/>
  <c r="N572" i="1"/>
  <c r="O572" i="1"/>
  <c r="Q572" i="1"/>
  <c r="A573" i="1"/>
  <c r="B573" i="1"/>
  <c r="C573" i="1"/>
  <c r="D573" i="1"/>
  <c r="E573" i="1"/>
  <c r="F573" i="1"/>
  <c r="H573" i="1"/>
  <c r="I573" i="1"/>
  <c r="J573" i="1"/>
  <c r="K573" i="1"/>
  <c r="L573" i="1"/>
  <c r="M573" i="1"/>
  <c r="N573" i="1"/>
  <c r="O573" i="1"/>
  <c r="Q573" i="1"/>
  <c r="A574" i="1"/>
  <c r="B574" i="1"/>
  <c r="C574" i="1"/>
  <c r="D574" i="1"/>
  <c r="E574" i="1"/>
  <c r="F574" i="1"/>
  <c r="H574" i="1"/>
  <c r="I574" i="1"/>
  <c r="J574" i="1"/>
  <c r="K574" i="1"/>
  <c r="L574" i="1"/>
  <c r="M574" i="1"/>
  <c r="N574" i="1"/>
  <c r="O574" i="1"/>
  <c r="Q574" i="1"/>
  <c r="A575" i="1"/>
  <c r="B575" i="1"/>
  <c r="C575" i="1"/>
  <c r="D575" i="1"/>
  <c r="E575" i="1"/>
  <c r="F575" i="1"/>
  <c r="H575" i="1"/>
  <c r="I575" i="1"/>
  <c r="J575" i="1"/>
  <c r="K575" i="1"/>
  <c r="L575" i="1"/>
  <c r="M575" i="1"/>
  <c r="N575" i="1"/>
  <c r="O575" i="1"/>
  <c r="Q575" i="1"/>
  <c r="A576" i="1"/>
  <c r="B576" i="1"/>
  <c r="C576" i="1"/>
  <c r="D576" i="1"/>
  <c r="E576" i="1"/>
  <c r="F576" i="1"/>
  <c r="H576" i="1"/>
  <c r="I576" i="1"/>
  <c r="J576" i="1"/>
  <c r="K576" i="1"/>
  <c r="L576" i="1"/>
  <c r="M576" i="1"/>
  <c r="N576" i="1"/>
  <c r="O576" i="1"/>
  <c r="Q576" i="1"/>
  <c r="A577" i="1"/>
  <c r="B577" i="1"/>
  <c r="C577" i="1"/>
  <c r="D577" i="1"/>
  <c r="E577" i="1"/>
  <c r="F577" i="1"/>
  <c r="H577" i="1"/>
  <c r="I577" i="1"/>
  <c r="J577" i="1"/>
  <c r="K577" i="1"/>
  <c r="L577" i="1"/>
  <c r="M577" i="1"/>
  <c r="N577" i="1"/>
  <c r="O577" i="1"/>
  <c r="Q577" i="1"/>
  <c r="A578" i="1"/>
  <c r="B578" i="1"/>
  <c r="C578" i="1"/>
  <c r="D578" i="1"/>
  <c r="E578" i="1"/>
  <c r="F578" i="1"/>
  <c r="H578" i="1"/>
  <c r="I578" i="1"/>
  <c r="J578" i="1"/>
  <c r="K578" i="1"/>
  <c r="L578" i="1"/>
  <c r="M578" i="1"/>
  <c r="N578" i="1"/>
  <c r="O578" i="1"/>
  <c r="Q578" i="1"/>
  <c r="A579" i="1"/>
  <c r="B579" i="1"/>
  <c r="C579" i="1"/>
  <c r="D579" i="1"/>
  <c r="E579" i="1"/>
  <c r="F579" i="1"/>
  <c r="H579" i="1"/>
  <c r="I579" i="1"/>
  <c r="J579" i="1"/>
  <c r="K579" i="1"/>
  <c r="L579" i="1"/>
  <c r="M579" i="1"/>
  <c r="N579" i="1"/>
  <c r="O579" i="1"/>
  <c r="Q579" i="1"/>
  <c r="A580" i="1"/>
  <c r="B580" i="1"/>
  <c r="C580" i="1"/>
  <c r="D580" i="1"/>
  <c r="E580" i="1"/>
  <c r="F580" i="1"/>
  <c r="H580" i="1"/>
  <c r="I580" i="1"/>
  <c r="J580" i="1"/>
  <c r="K580" i="1"/>
  <c r="L580" i="1"/>
  <c r="M580" i="1"/>
  <c r="N580" i="1"/>
  <c r="O580" i="1"/>
  <c r="Q580" i="1"/>
  <c r="A581" i="1"/>
  <c r="B581" i="1"/>
  <c r="C581" i="1"/>
  <c r="D581" i="1"/>
  <c r="E581" i="1"/>
  <c r="F581" i="1"/>
  <c r="H581" i="1"/>
  <c r="I581" i="1"/>
  <c r="J581" i="1"/>
  <c r="K581" i="1"/>
  <c r="L581" i="1"/>
  <c r="M581" i="1"/>
  <c r="N581" i="1"/>
  <c r="O581" i="1"/>
  <c r="Q581" i="1"/>
  <c r="A582" i="1"/>
  <c r="B582" i="1"/>
  <c r="C582" i="1"/>
  <c r="D582" i="1"/>
  <c r="E582" i="1"/>
  <c r="F582" i="1"/>
  <c r="H582" i="1"/>
  <c r="I582" i="1"/>
  <c r="J582" i="1"/>
  <c r="K582" i="1"/>
  <c r="L582" i="1"/>
  <c r="M582" i="1"/>
  <c r="N582" i="1"/>
  <c r="O582" i="1"/>
  <c r="Q582" i="1"/>
  <c r="A583" i="1"/>
  <c r="B583" i="1"/>
  <c r="C583" i="1"/>
  <c r="D583" i="1"/>
  <c r="E583" i="1"/>
  <c r="F583" i="1"/>
  <c r="H583" i="1"/>
  <c r="I583" i="1"/>
  <c r="J583" i="1"/>
  <c r="K583" i="1"/>
  <c r="L583" i="1"/>
  <c r="M583" i="1"/>
  <c r="N583" i="1"/>
  <c r="O583" i="1"/>
  <c r="Q583" i="1"/>
  <c r="A584" i="1"/>
  <c r="B584" i="1"/>
  <c r="C584" i="1"/>
  <c r="D584" i="1"/>
  <c r="E584" i="1"/>
  <c r="F584" i="1"/>
  <c r="H584" i="1"/>
  <c r="I584" i="1"/>
  <c r="J584" i="1"/>
  <c r="K584" i="1"/>
  <c r="L584" i="1"/>
  <c r="M584" i="1"/>
  <c r="N584" i="1"/>
  <c r="O584" i="1"/>
  <c r="Q584" i="1"/>
  <c r="A585" i="1"/>
  <c r="B585" i="1"/>
  <c r="C585" i="1"/>
  <c r="D585" i="1"/>
  <c r="E585" i="1"/>
  <c r="F585" i="1"/>
  <c r="H585" i="1"/>
  <c r="I585" i="1"/>
  <c r="J585" i="1"/>
  <c r="K585" i="1"/>
  <c r="L585" i="1"/>
  <c r="M585" i="1"/>
  <c r="N585" i="1"/>
  <c r="O585" i="1"/>
  <c r="Q585" i="1"/>
  <c r="A586" i="1"/>
  <c r="B586" i="1"/>
  <c r="C586" i="1"/>
  <c r="D586" i="1"/>
  <c r="E586" i="1"/>
  <c r="F586" i="1"/>
  <c r="H586" i="1"/>
  <c r="I586" i="1"/>
  <c r="J586" i="1"/>
  <c r="K586" i="1"/>
  <c r="L586" i="1"/>
  <c r="M586" i="1"/>
  <c r="N586" i="1"/>
  <c r="O586" i="1"/>
  <c r="Q586" i="1"/>
  <c r="A587" i="1"/>
  <c r="B587" i="1"/>
  <c r="C587" i="1"/>
  <c r="D587" i="1"/>
  <c r="E587" i="1"/>
  <c r="F587" i="1"/>
  <c r="H587" i="1"/>
  <c r="I587" i="1"/>
  <c r="J587" i="1"/>
  <c r="K587" i="1"/>
  <c r="L587" i="1"/>
  <c r="M587" i="1"/>
  <c r="N587" i="1"/>
  <c r="O587" i="1"/>
  <c r="Q587" i="1"/>
  <c r="A588" i="1"/>
  <c r="B588" i="1"/>
  <c r="C588" i="1"/>
  <c r="D588" i="1"/>
  <c r="E588" i="1"/>
  <c r="F588" i="1"/>
  <c r="H588" i="1"/>
  <c r="I588" i="1"/>
  <c r="J588" i="1"/>
  <c r="K588" i="1"/>
  <c r="L588" i="1"/>
  <c r="M588" i="1"/>
  <c r="N588" i="1"/>
  <c r="O588" i="1"/>
  <c r="Q588" i="1"/>
  <c r="A589" i="1"/>
  <c r="B589" i="1"/>
  <c r="C589" i="1"/>
  <c r="D589" i="1"/>
  <c r="E589" i="1"/>
  <c r="F589" i="1"/>
  <c r="H589" i="1"/>
  <c r="I589" i="1"/>
  <c r="J589" i="1"/>
  <c r="K589" i="1"/>
  <c r="L589" i="1"/>
  <c r="M589" i="1"/>
  <c r="N589" i="1"/>
  <c r="O589" i="1"/>
  <c r="Q589" i="1"/>
  <c r="A590" i="1"/>
  <c r="B590" i="1"/>
  <c r="C590" i="1"/>
  <c r="D590" i="1"/>
  <c r="E590" i="1"/>
  <c r="F590" i="1"/>
  <c r="H590" i="1"/>
  <c r="I590" i="1"/>
  <c r="J590" i="1"/>
  <c r="K590" i="1"/>
  <c r="L590" i="1"/>
  <c r="M590" i="1"/>
  <c r="N590" i="1"/>
  <c r="O590" i="1"/>
  <c r="Q590" i="1"/>
  <c r="A591" i="1"/>
  <c r="B591" i="1"/>
  <c r="C591" i="1"/>
  <c r="D591" i="1"/>
  <c r="E591" i="1"/>
  <c r="F591" i="1"/>
  <c r="H591" i="1"/>
  <c r="I591" i="1"/>
  <c r="J591" i="1"/>
  <c r="K591" i="1"/>
  <c r="L591" i="1"/>
  <c r="M591" i="1"/>
  <c r="N591" i="1"/>
  <c r="O591" i="1"/>
  <c r="Q591" i="1"/>
  <c r="A592" i="1"/>
  <c r="B592" i="1"/>
  <c r="C592" i="1"/>
  <c r="D592" i="1"/>
  <c r="E592" i="1"/>
  <c r="F592" i="1"/>
  <c r="H592" i="1"/>
  <c r="I592" i="1"/>
  <c r="J592" i="1"/>
  <c r="K592" i="1"/>
  <c r="L592" i="1"/>
  <c r="M592" i="1"/>
  <c r="N592" i="1"/>
  <c r="O592" i="1"/>
  <c r="Q592" i="1"/>
  <c r="A593" i="1"/>
  <c r="B593" i="1"/>
  <c r="C593" i="1"/>
  <c r="D593" i="1"/>
  <c r="E593" i="1"/>
  <c r="F593" i="1"/>
  <c r="H593" i="1"/>
  <c r="I593" i="1"/>
  <c r="J593" i="1"/>
  <c r="K593" i="1"/>
  <c r="L593" i="1"/>
  <c r="M593" i="1"/>
  <c r="N593" i="1"/>
  <c r="O593" i="1"/>
  <c r="Q593" i="1"/>
  <c r="A594" i="1"/>
  <c r="B594" i="1"/>
  <c r="C594" i="1"/>
  <c r="D594" i="1"/>
  <c r="E594" i="1"/>
  <c r="F594" i="1"/>
  <c r="H594" i="1"/>
  <c r="I594" i="1"/>
  <c r="J594" i="1"/>
  <c r="K594" i="1"/>
  <c r="L594" i="1"/>
  <c r="M594" i="1"/>
  <c r="N594" i="1"/>
  <c r="O594" i="1"/>
  <c r="Q594" i="1"/>
  <c r="A595" i="1"/>
  <c r="B595" i="1"/>
  <c r="C595" i="1"/>
  <c r="D595" i="1"/>
  <c r="E595" i="1"/>
  <c r="F595" i="1"/>
  <c r="H595" i="1"/>
  <c r="I595" i="1"/>
  <c r="J595" i="1"/>
  <c r="K595" i="1"/>
  <c r="L595" i="1"/>
  <c r="M595" i="1"/>
  <c r="N595" i="1"/>
  <c r="O595" i="1"/>
  <c r="Q595" i="1"/>
  <c r="A596" i="1"/>
  <c r="B596" i="1"/>
  <c r="C596" i="1"/>
  <c r="D596" i="1"/>
  <c r="E596" i="1"/>
  <c r="F596" i="1"/>
  <c r="H596" i="1"/>
  <c r="I596" i="1"/>
  <c r="J596" i="1"/>
  <c r="K596" i="1"/>
  <c r="L596" i="1"/>
  <c r="M596" i="1"/>
  <c r="N596" i="1"/>
  <c r="O596" i="1"/>
  <c r="Q596" i="1"/>
  <c r="A597" i="1"/>
  <c r="B597" i="1"/>
  <c r="C597" i="1"/>
  <c r="D597" i="1"/>
  <c r="E597" i="1"/>
  <c r="F597" i="1"/>
  <c r="H597" i="1"/>
  <c r="I597" i="1"/>
  <c r="J597" i="1"/>
  <c r="K597" i="1"/>
  <c r="L597" i="1"/>
  <c r="M597" i="1"/>
  <c r="N597" i="1"/>
  <c r="O597" i="1"/>
  <c r="Q597" i="1"/>
  <c r="A598" i="1"/>
  <c r="B598" i="1"/>
  <c r="C598" i="1"/>
  <c r="D598" i="1"/>
  <c r="E598" i="1"/>
  <c r="F598" i="1"/>
  <c r="H598" i="1"/>
  <c r="I598" i="1"/>
  <c r="J598" i="1"/>
  <c r="K598" i="1"/>
  <c r="L598" i="1"/>
  <c r="M598" i="1"/>
  <c r="N598" i="1"/>
  <c r="O598" i="1"/>
  <c r="Q598" i="1"/>
  <c r="A599" i="1"/>
  <c r="B599" i="1"/>
  <c r="C599" i="1"/>
  <c r="D599" i="1"/>
  <c r="E599" i="1"/>
  <c r="F599" i="1"/>
  <c r="H599" i="1"/>
  <c r="I599" i="1"/>
  <c r="J599" i="1"/>
  <c r="K599" i="1"/>
  <c r="L599" i="1"/>
  <c r="M599" i="1"/>
  <c r="N599" i="1"/>
  <c r="O599" i="1"/>
  <c r="Q599" i="1"/>
  <c r="A600" i="1"/>
  <c r="B600" i="1"/>
  <c r="C600" i="1"/>
  <c r="D600" i="1"/>
  <c r="E600" i="1"/>
  <c r="F600" i="1"/>
  <c r="H600" i="1"/>
  <c r="I600" i="1"/>
  <c r="J600" i="1"/>
  <c r="K600" i="1"/>
  <c r="L600" i="1"/>
  <c r="M600" i="1"/>
  <c r="N600" i="1"/>
  <c r="O600" i="1"/>
  <c r="Q600" i="1"/>
  <c r="A601" i="1"/>
  <c r="B601" i="1"/>
  <c r="C601" i="1"/>
  <c r="D601" i="1"/>
  <c r="E601" i="1"/>
  <c r="F601" i="1"/>
  <c r="H601" i="1"/>
  <c r="I601" i="1"/>
  <c r="J601" i="1"/>
  <c r="K601" i="1"/>
  <c r="L601" i="1"/>
  <c r="M601" i="1"/>
  <c r="N601" i="1"/>
  <c r="O601" i="1"/>
  <c r="Q601" i="1"/>
  <c r="A602" i="1"/>
  <c r="B602" i="1"/>
  <c r="C602" i="1"/>
  <c r="D602" i="1"/>
  <c r="E602" i="1"/>
  <c r="F602" i="1"/>
  <c r="H602" i="1"/>
  <c r="I602" i="1"/>
  <c r="J602" i="1"/>
  <c r="K602" i="1"/>
  <c r="L602" i="1"/>
  <c r="M602" i="1"/>
  <c r="N602" i="1"/>
  <c r="O602" i="1"/>
  <c r="Q602" i="1"/>
  <c r="A603" i="1"/>
  <c r="B603" i="1"/>
  <c r="C603" i="1"/>
  <c r="D603" i="1"/>
  <c r="E603" i="1"/>
  <c r="F603" i="1"/>
  <c r="H603" i="1"/>
  <c r="I603" i="1"/>
  <c r="J603" i="1"/>
  <c r="K603" i="1"/>
  <c r="L603" i="1"/>
  <c r="M603" i="1"/>
  <c r="N603" i="1"/>
  <c r="O603" i="1"/>
  <c r="Q603" i="1"/>
  <c r="A604" i="1"/>
  <c r="B604" i="1"/>
  <c r="C604" i="1"/>
  <c r="D604" i="1"/>
  <c r="E604" i="1"/>
  <c r="F604" i="1"/>
  <c r="H604" i="1"/>
  <c r="I604" i="1"/>
  <c r="J604" i="1"/>
  <c r="K604" i="1"/>
  <c r="L604" i="1"/>
  <c r="M604" i="1"/>
  <c r="N604" i="1"/>
  <c r="O604" i="1"/>
  <c r="Q604" i="1"/>
  <c r="A605" i="1"/>
  <c r="B605" i="1"/>
  <c r="C605" i="1"/>
  <c r="D605" i="1"/>
  <c r="E605" i="1"/>
  <c r="F605" i="1"/>
  <c r="H605" i="1"/>
  <c r="I605" i="1"/>
  <c r="J605" i="1"/>
  <c r="K605" i="1"/>
  <c r="L605" i="1"/>
  <c r="M605" i="1"/>
  <c r="N605" i="1"/>
  <c r="O605" i="1"/>
  <c r="Q605" i="1"/>
  <c r="A606" i="1"/>
  <c r="B606" i="1"/>
  <c r="C606" i="1"/>
  <c r="D606" i="1"/>
  <c r="E606" i="1"/>
  <c r="F606" i="1"/>
  <c r="H606" i="1"/>
  <c r="I606" i="1"/>
  <c r="J606" i="1"/>
  <c r="K606" i="1"/>
  <c r="L606" i="1"/>
  <c r="M606" i="1"/>
  <c r="N606" i="1"/>
  <c r="O606" i="1"/>
  <c r="Q606" i="1"/>
  <c r="A607" i="1"/>
  <c r="B607" i="1"/>
  <c r="C607" i="1"/>
  <c r="D607" i="1"/>
  <c r="E607" i="1"/>
  <c r="F607" i="1"/>
  <c r="H607" i="1"/>
  <c r="I607" i="1"/>
  <c r="J607" i="1"/>
  <c r="K607" i="1"/>
  <c r="L607" i="1"/>
  <c r="M607" i="1"/>
  <c r="N607" i="1"/>
  <c r="O607" i="1"/>
  <c r="Q607" i="1"/>
  <c r="A608" i="1"/>
  <c r="B608" i="1"/>
  <c r="C608" i="1"/>
  <c r="D608" i="1"/>
  <c r="E608" i="1"/>
  <c r="F608" i="1"/>
  <c r="H608" i="1"/>
  <c r="I608" i="1"/>
  <c r="J608" i="1"/>
  <c r="K608" i="1"/>
  <c r="L608" i="1"/>
  <c r="M608" i="1"/>
  <c r="N608" i="1"/>
  <c r="O608" i="1"/>
  <c r="Q608" i="1"/>
  <c r="A609" i="1"/>
  <c r="B609" i="1"/>
  <c r="C609" i="1"/>
  <c r="D609" i="1"/>
  <c r="E609" i="1"/>
  <c r="F609" i="1"/>
  <c r="H609" i="1"/>
  <c r="I609" i="1"/>
  <c r="J609" i="1"/>
  <c r="K609" i="1"/>
  <c r="L609" i="1"/>
  <c r="M609" i="1"/>
  <c r="N609" i="1"/>
  <c r="O609" i="1"/>
  <c r="Q609" i="1"/>
  <c r="A610" i="1"/>
  <c r="B610" i="1"/>
  <c r="C610" i="1"/>
  <c r="D610" i="1"/>
  <c r="E610" i="1"/>
  <c r="F610" i="1"/>
  <c r="H610" i="1"/>
  <c r="I610" i="1"/>
  <c r="J610" i="1"/>
  <c r="K610" i="1"/>
  <c r="L610" i="1"/>
  <c r="M610" i="1"/>
  <c r="N610" i="1"/>
  <c r="O610" i="1"/>
  <c r="Q610" i="1"/>
  <c r="A611" i="1"/>
  <c r="B611" i="1"/>
  <c r="C611" i="1"/>
  <c r="D611" i="1"/>
  <c r="E611" i="1"/>
  <c r="F611" i="1"/>
  <c r="H611" i="1"/>
  <c r="I611" i="1"/>
  <c r="J611" i="1"/>
  <c r="K611" i="1"/>
  <c r="L611" i="1"/>
  <c r="M611" i="1"/>
  <c r="N611" i="1"/>
  <c r="O611" i="1"/>
  <c r="Q611" i="1"/>
  <c r="A612" i="1"/>
  <c r="B612" i="1"/>
  <c r="C612" i="1"/>
  <c r="D612" i="1"/>
  <c r="E612" i="1"/>
  <c r="F612" i="1"/>
  <c r="H612" i="1"/>
  <c r="I612" i="1"/>
  <c r="J612" i="1"/>
  <c r="K612" i="1"/>
  <c r="L612" i="1"/>
  <c r="M612" i="1"/>
  <c r="N612" i="1"/>
  <c r="O612" i="1"/>
  <c r="Q612" i="1"/>
  <c r="A613" i="1"/>
  <c r="B613" i="1"/>
  <c r="C613" i="1"/>
  <c r="D613" i="1"/>
  <c r="E613" i="1"/>
  <c r="F613" i="1"/>
  <c r="H613" i="1"/>
  <c r="I613" i="1"/>
  <c r="J613" i="1"/>
  <c r="K613" i="1"/>
  <c r="L613" i="1"/>
  <c r="M613" i="1"/>
  <c r="N613" i="1"/>
  <c r="O613" i="1"/>
  <c r="Q613" i="1"/>
  <c r="A614" i="1"/>
  <c r="B614" i="1"/>
  <c r="C614" i="1"/>
  <c r="D614" i="1"/>
  <c r="E614" i="1"/>
  <c r="F614" i="1"/>
  <c r="H614" i="1"/>
  <c r="I614" i="1"/>
  <c r="J614" i="1"/>
  <c r="K614" i="1"/>
  <c r="L614" i="1"/>
  <c r="M614" i="1"/>
  <c r="N614" i="1"/>
  <c r="O614" i="1"/>
  <c r="Q614" i="1"/>
  <c r="A615" i="1"/>
  <c r="B615" i="1"/>
  <c r="C615" i="1"/>
  <c r="D615" i="1"/>
  <c r="E615" i="1"/>
  <c r="F615" i="1"/>
  <c r="H615" i="1"/>
  <c r="I615" i="1"/>
  <c r="J615" i="1"/>
  <c r="K615" i="1"/>
  <c r="L615" i="1"/>
  <c r="M615" i="1"/>
  <c r="N615" i="1"/>
  <c r="O615" i="1"/>
  <c r="Q615" i="1"/>
  <c r="A616" i="1"/>
  <c r="B616" i="1"/>
  <c r="C616" i="1"/>
  <c r="D616" i="1"/>
  <c r="E616" i="1"/>
  <c r="F616" i="1"/>
  <c r="H616" i="1"/>
  <c r="I616" i="1"/>
  <c r="J616" i="1"/>
  <c r="K616" i="1"/>
  <c r="L616" i="1"/>
  <c r="M616" i="1"/>
  <c r="N616" i="1"/>
  <c r="O616" i="1"/>
  <c r="Q616" i="1"/>
  <c r="A617" i="1"/>
  <c r="B617" i="1"/>
  <c r="C617" i="1"/>
  <c r="D617" i="1"/>
  <c r="E617" i="1"/>
  <c r="F617" i="1"/>
  <c r="H617" i="1"/>
  <c r="I617" i="1"/>
  <c r="J617" i="1"/>
  <c r="K617" i="1"/>
  <c r="L617" i="1"/>
  <c r="M617" i="1"/>
  <c r="N617" i="1"/>
  <c r="O617" i="1"/>
  <c r="Q617" i="1"/>
  <c r="A618" i="1"/>
  <c r="B618" i="1"/>
  <c r="C618" i="1"/>
  <c r="D618" i="1"/>
  <c r="E618" i="1"/>
  <c r="F618" i="1"/>
  <c r="H618" i="1"/>
  <c r="I618" i="1"/>
  <c r="J618" i="1"/>
  <c r="K618" i="1"/>
  <c r="L618" i="1"/>
  <c r="M618" i="1"/>
  <c r="N618" i="1"/>
  <c r="O618" i="1"/>
  <c r="Q618" i="1"/>
  <c r="A619" i="1"/>
  <c r="B619" i="1"/>
  <c r="C619" i="1"/>
  <c r="D619" i="1"/>
  <c r="E619" i="1"/>
  <c r="F619" i="1"/>
  <c r="H619" i="1"/>
  <c r="I619" i="1"/>
  <c r="J619" i="1"/>
  <c r="K619" i="1"/>
  <c r="L619" i="1"/>
  <c r="M619" i="1"/>
  <c r="N619" i="1"/>
  <c r="O619" i="1"/>
  <c r="Q619" i="1"/>
  <c r="A620" i="1"/>
  <c r="B620" i="1"/>
  <c r="C620" i="1"/>
  <c r="D620" i="1"/>
  <c r="E620" i="1"/>
  <c r="F620" i="1"/>
  <c r="H620" i="1"/>
  <c r="I620" i="1"/>
  <c r="J620" i="1"/>
  <c r="K620" i="1"/>
  <c r="L620" i="1"/>
  <c r="M620" i="1"/>
  <c r="N620" i="1"/>
  <c r="O620" i="1"/>
  <c r="Q620" i="1"/>
  <c r="A621" i="1"/>
  <c r="B621" i="1"/>
  <c r="C621" i="1"/>
  <c r="D621" i="1"/>
  <c r="E621" i="1"/>
  <c r="F621" i="1"/>
  <c r="H621" i="1"/>
  <c r="I621" i="1"/>
  <c r="J621" i="1"/>
  <c r="K621" i="1"/>
  <c r="L621" i="1"/>
  <c r="M621" i="1"/>
  <c r="N621" i="1"/>
  <c r="O621" i="1"/>
  <c r="Q621" i="1"/>
  <c r="A622" i="1"/>
  <c r="B622" i="1"/>
  <c r="C622" i="1"/>
  <c r="D622" i="1"/>
  <c r="E622" i="1"/>
  <c r="F622" i="1"/>
  <c r="H622" i="1"/>
  <c r="I622" i="1"/>
  <c r="J622" i="1"/>
  <c r="K622" i="1"/>
  <c r="L622" i="1"/>
  <c r="M622" i="1"/>
  <c r="N622" i="1"/>
  <c r="O622" i="1"/>
  <c r="Q622" i="1"/>
  <c r="A623" i="1"/>
  <c r="B623" i="1"/>
  <c r="C623" i="1"/>
  <c r="D623" i="1"/>
  <c r="E623" i="1"/>
  <c r="F623" i="1"/>
  <c r="H623" i="1"/>
  <c r="I623" i="1"/>
  <c r="J623" i="1"/>
  <c r="K623" i="1"/>
  <c r="L623" i="1"/>
  <c r="M623" i="1"/>
  <c r="N623" i="1"/>
  <c r="O623" i="1"/>
  <c r="Q623" i="1"/>
  <c r="A624" i="1"/>
  <c r="B624" i="1"/>
  <c r="C624" i="1"/>
  <c r="D624" i="1"/>
  <c r="E624" i="1"/>
  <c r="F624" i="1"/>
  <c r="H624" i="1"/>
  <c r="I624" i="1"/>
  <c r="J624" i="1"/>
  <c r="K624" i="1"/>
  <c r="L624" i="1"/>
  <c r="M624" i="1"/>
  <c r="N624" i="1"/>
  <c r="O624" i="1"/>
  <c r="Q624" i="1"/>
  <c r="A625" i="1"/>
  <c r="B625" i="1"/>
  <c r="C625" i="1"/>
  <c r="D625" i="1"/>
  <c r="E625" i="1"/>
  <c r="F625" i="1"/>
  <c r="H625" i="1"/>
  <c r="I625" i="1"/>
  <c r="J625" i="1"/>
  <c r="K625" i="1"/>
  <c r="L625" i="1"/>
  <c r="M625" i="1"/>
  <c r="N625" i="1"/>
  <c r="O625" i="1"/>
  <c r="Q625" i="1"/>
  <c r="A626" i="1"/>
  <c r="B626" i="1"/>
  <c r="C626" i="1"/>
  <c r="D626" i="1"/>
  <c r="E626" i="1"/>
  <c r="F626" i="1"/>
  <c r="H626" i="1"/>
  <c r="I626" i="1"/>
  <c r="J626" i="1"/>
  <c r="K626" i="1"/>
  <c r="L626" i="1"/>
  <c r="M626" i="1"/>
  <c r="N626" i="1"/>
  <c r="O626" i="1"/>
  <c r="Q626" i="1"/>
  <c r="A627" i="1"/>
  <c r="B627" i="1"/>
  <c r="C627" i="1"/>
  <c r="D627" i="1"/>
  <c r="E627" i="1"/>
  <c r="F627" i="1"/>
  <c r="H627" i="1"/>
  <c r="I627" i="1"/>
  <c r="J627" i="1"/>
  <c r="K627" i="1"/>
  <c r="L627" i="1"/>
  <c r="M627" i="1"/>
  <c r="N627" i="1"/>
  <c r="O627" i="1"/>
  <c r="Q627" i="1"/>
  <c r="A628" i="1"/>
  <c r="B628" i="1"/>
  <c r="C628" i="1"/>
  <c r="D628" i="1"/>
  <c r="E628" i="1"/>
  <c r="F628" i="1"/>
  <c r="H628" i="1"/>
  <c r="I628" i="1"/>
  <c r="J628" i="1"/>
  <c r="K628" i="1"/>
  <c r="L628" i="1"/>
  <c r="M628" i="1"/>
  <c r="N628" i="1"/>
  <c r="O628" i="1"/>
  <c r="Q628" i="1"/>
  <c r="A629" i="1"/>
  <c r="B629" i="1"/>
  <c r="C629" i="1"/>
  <c r="D629" i="1"/>
  <c r="E629" i="1"/>
  <c r="F629" i="1"/>
  <c r="H629" i="1"/>
  <c r="I629" i="1"/>
  <c r="J629" i="1"/>
  <c r="K629" i="1"/>
  <c r="L629" i="1"/>
  <c r="M629" i="1"/>
  <c r="N629" i="1"/>
  <c r="O629" i="1"/>
  <c r="Q629" i="1"/>
  <c r="A630" i="1"/>
  <c r="B630" i="1"/>
  <c r="C630" i="1"/>
  <c r="D630" i="1"/>
  <c r="E630" i="1"/>
  <c r="F630" i="1"/>
  <c r="H630" i="1"/>
  <c r="I630" i="1"/>
  <c r="J630" i="1"/>
  <c r="K630" i="1"/>
  <c r="L630" i="1"/>
  <c r="M630" i="1"/>
  <c r="N630" i="1"/>
  <c r="O630" i="1"/>
  <c r="Q630" i="1"/>
  <c r="A631" i="1"/>
  <c r="B631" i="1"/>
  <c r="C631" i="1"/>
  <c r="D631" i="1"/>
  <c r="E631" i="1"/>
  <c r="F631" i="1"/>
  <c r="H631" i="1"/>
  <c r="I631" i="1"/>
  <c r="J631" i="1"/>
  <c r="K631" i="1"/>
  <c r="L631" i="1"/>
  <c r="M631" i="1"/>
  <c r="N631" i="1"/>
  <c r="O631" i="1"/>
  <c r="Q631" i="1"/>
  <c r="A632" i="1"/>
  <c r="B632" i="1"/>
  <c r="C632" i="1"/>
  <c r="D632" i="1"/>
  <c r="E632" i="1"/>
  <c r="F632" i="1"/>
  <c r="H632" i="1"/>
  <c r="I632" i="1"/>
  <c r="J632" i="1"/>
  <c r="K632" i="1"/>
  <c r="L632" i="1"/>
  <c r="M632" i="1"/>
  <c r="N632" i="1"/>
  <c r="O632" i="1"/>
  <c r="Q632" i="1"/>
  <c r="A633" i="1"/>
  <c r="B633" i="1"/>
  <c r="C633" i="1"/>
  <c r="D633" i="1"/>
  <c r="E633" i="1"/>
  <c r="F633" i="1"/>
  <c r="H633" i="1"/>
  <c r="I633" i="1"/>
  <c r="J633" i="1"/>
  <c r="K633" i="1"/>
  <c r="L633" i="1"/>
  <c r="M633" i="1"/>
  <c r="N633" i="1"/>
  <c r="O633" i="1"/>
  <c r="Q633" i="1"/>
  <c r="A634" i="1"/>
  <c r="B634" i="1"/>
  <c r="C634" i="1"/>
  <c r="D634" i="1"/>
  <c r="E634" i="1"/>
  <c r="F634" i="1"/>
  <c r="H634" i="1"/>
  <c r="I634" i="1"/>
  <c r="J634" i="1"/>
  <c r="K634" i="1"/>
  <c r="L634" i="1"/>
  <c r="M634" i="1"/>
  <c r="N634" i="1"/>
  <c r="O634" i="1"/>
  <c r="Q634" i="1"/>
  <c r="A635" i="1"/>
  <c r="B635" i="1"/>
  <c r="C635" i="1"/>
  <c r="D635" i="1"/>
  <c r="E635" i="1"/>
  <c r="F635" i="1"/>
  <c r="H635" i="1"/>
  <c r="I635" i="1"/>
  <c r="J635" i="1"/>
  <c r="K635" i="1"/>
  <c r="L635" i="1"/>
  <c r="M635" i="1"/>
  <c r="N635" i="1"/>
  <c r="O635" i="1"/>
  <c r="Q635" i="1"/>
  <c r="A636" i="1"/>
  <c r="B636" i="1"/>
  <c r="C636" i="1"/>
  <c r="D636" i="1"/>
  <c r="E636" i="1"/>
  <c r="F636" i="1"/>
  <c r="H636" i="1"/>
  <c r="I636" i="1"/>
  <c r="J636" i="1"/>
  <c r="K636" i="1"/>
  <c r="L636" i="1"/>
  <c r="M636" i="1"/>
  <c r="N636" i="1"/>
  <c r="O636" i="1"/>
  <c r="Q636" i="1"/>
  <c r="A637" i="1"/>
  <c r="B637" i="1"/>
  <c r="C637" i="1"/>
  <c r="D637" i="1"/>
  <c r="E637" i="1"/>
  <c r="F637" i="1"/>
  <c r="H637" i="1"/>
  <c r="I637" i="1"/>
  <c r="J637" i="1"/>
  <c r="K637" i="1"/>
  <c r="L637" i="1"/>
  <c r="M637" i="1"/>
  <c r="N637" i="1"/>
  <c r="O637" i="1"/>
  <c r="Q637" i="1"/>
  <c r="A638" i="1"/>
  <c r="B638" i="1"/>
  <c r="C638" i="1"/>
  <c r="D638" i="1"/>
  <c r="E638" i="1"/>
  <c r="F638" i="1"/>
  <c r="H638" i="1"/>
  <c r="I638" i="1"/>
  <c r="J638" i="1"/>
  <c r="K638" i="1"/>
  <c r="L638" i="1"/>
  <c r="M638" i="1"/>
  <c r="N638" i="1"/>
  <c r="O638" i="1"/>
  <c r="Q638" i="1"/>
  <c r="A639" i="1"/>
  <c r="B639" i="1"/>
  <c r="C639" i="1"/>
  <c r="D639" i="1"/>
  <c r="E639" i="1"/>
  <c r="F639" i="1"/>
  <c r="H639" i="1"/>
  <c r="I639" i="1"/>
  <c r="J639" i="1"/>
  <c r="K639" i="1"/>
  <c r="L639" i="1"/>
  <c r="M639" i="1"/>
  <c r="N639" i="1"/>
  <c r="O639" i="1"/>
  <c r="Q639" i="1"/>
  <c r="A640" i="1"/>
  <c r="B640" i="1"/>
  <c r="C640" i="1"/>
  <c r="D640" i="1"/>
  <c r="E640" i="1"/>
  <c r="F640" i="1"/>
  <c r="H640" i="1"/>
  <c r="I640" i="1"/>
  <c r="J640" i="1"/>
  <c r="K640" i="1"/>
  <c r="L640" i="1"/>
  <c r="M640" i="1"/>
  <c r="N640" i="1"/>
  <c r="O640" i="1"/>
  <c r="Q640" i="1"/>
  <c r="A641" i="1"/>
  <c r="B641" i="1"/>
  <c r="C641" i="1"/>
  <c r="D641" i="1"/>
  <c r="E641" i="1"/>
  <c r="F641" i="1"/>
  <c r="H641" i="1"/>
  <c r="I641" i="1"/>
  <c r="J641" i="1"/>
  <c r="K641" i="1"/>
  <c r="L641" i="1"/>
  <c r="M641" i="1"/>
  <c r="N641" i="1"/>
  <c r="O641" i="1"/>
  <c r="Q641" i="1"/>
  <c r="A642" i="1"/>
  <c r="B642" i="1"/>
  <c r="C642" i="1"/>
  <c r="D642" i="1"/>
  <c r="E642" i="1"/>
  <c r="F642" i="1"/>
  <c r="H642" i="1"/>
  <c r="I642" i="1"/>
  <c r="J642" i="1"/>
  <c r="K642" i="1"/>
  <c r="L642" i="1"/>
  <c r="M642" i="1"/>
  <c r="N642" i="1"/>
  <c r="O642" i="1"/>
  <c r="Q642" i="1"/>
  <c r="A643" i="1"/>
  <c r="B643" i="1"/>
  <c r="C643" i="1"/>
  <c r="D643" i="1"/>
  <c r="E643" i="1"/>
  <c r="F643" i="1"/>
  <c r="H643" i="1"/>
  <c r="I643" i="1"/>
  <c r="J643" i="1"/>
  <c r="K643" i="1"/>
  <c r="L643" i="1"/>
  <c r="M643" i="1"/>
  <c r="N643" i="1"/>
  <c r="O643" i="1"/>
  <c r="Q643" i="1"/>
  <c r="A644" i="1"/>
  <c r="B644" i="1"/>
  <c r="C644" i="1"/>
  <c r="D644" i="1"/>
  <c r="E644" i="1"/>
  <c r="F644" i="1"/>
  <c r="H644" i="1"/>
  <c r="I644" i="1"/>
  <c r="J644" i="1"/>
  <c r="K644" i="1"/>
  <c r="L644" i="1"/>
  <c r="M644" i="1"/>
  <c r="N644" i="1"/>
  <c r="O644" i="1"/>
  <c r="Q644" i="1"/>
  <c r="A645" i="1"/>
  <c r="B645" i="1"/>
  <c r="C645" i="1"/>
  <c r="D645" i="1"/>
  <c r="E645" i="1"/>
  <c r="F645" i="1"/>
  <c r="H645" i="1"/>
  <c r="I645" i="1"/>
  <c r="J645" i="1"/>
  <c r="K645" i="1"/>
  <c r="L645" i="1"/>
  <c r="M645" i="1"/>
  <c r="N645" i="1"/>
  <c r="O645" i="1"/>
  <c r="Q645" i="1"/>
  <c r="A646" i="1"/>
  <c r="B646" i="1"/>
  <c r="C646" i="1"/>
  <c r="D646" i="1"/>
  <c r="E646" i="1"/>
  <c r="F646" i="1"/>
  <c r="H646" i="1"/>
  <c r="I646" i="1"/>
  <c r="J646" i="1"/>
  <c r="K646" i="1"/>
  <c r="L646" i="1"/>
  <c r="M646" i="1"/>
  <c r="N646" i="1"/>
  <c r="O646" i="1"/>
  <c r="Q646" i="1"/>
  <c r="A647" i="1"/>
  <c r="B647" i="1"/>
  <c r="C647" i="1"/>
  <c r="D647" i="1"/>
  <c r="E647" i="1"/>
  <c r="F647" i="1"/>
  <c r="H647" i="1"/>
  <c r="I647" i="1"/>
  <c r="J647" i="1"/>
  <c r="K647" i="1"/>
  <c r="L647" i="1"/>
  <c r="M647" i="1"/>
  <c r="N647" i="1"/>
  <c r="O647" i="1"/>
  <c r="Q647" i="1"/>
  <c r="A648" i="1"/>
  <c r="B648" i="1"/>
  <c r="C648" i="1"/>
  <c r="D648" i="1"/>
  <c r="E648" i="1"/>
  <c r="F648" i="1"/>
  <c r="H648" i="1"/>
  <c r="I648" i="1"/>
  <c r="J648" i="1"/>
  <c r="K648" i="1"/>
  <c r="L648" i="1"/>
  <c r="M648" i="1"/>
  <c r="N648" i="1"/>
  <c r="O648" i="1"/>
  <c r="Q648" i="1"/>
  <c r="A649" i="1"/>
  <c r="B649" i="1"/>
  <c r="C649" i="1"/>
  <c r="D649" i="1"/>
  <c r="E649" i="1"/>
  <c r="F649" i="1"/>
  <c r="H649" i="1"/>
  <c r="I649" i="1"/>
  <c r="J649" i="1"/>
  <c r="K649" i="1"/>
  <c r="L649" i="1"/>
  <c r="M649" i="1"/>
  <c r="N649" i="1"/>
  <c r="O649" i="1"/>
  <c r="Q649" i="1"/>
  <c r="A650" i="1"/>
  <c r="B650" i="1"/>
  <c r="C650" i="1"/>
  <c r="D650" i="1"/>
  <c r="E650" i="1"/>
  <c r="F650" i="1"/>
  <c r="H650" i="1"/>
  <c r="I650" i="1"/>
  <c r="J650" i="1"/>
  <c r="K650" i="1"/>
  <c r="L650" i="1"/>
  <c r="M650" i="1"/>
  <c r="N650" i="1"/>
  <c r="O650" i="1"/>
  <c r="Q650" i="1"/>
  <c r="A651" i="1"/>
  <c r="B651" i="1"/>
  <c r="C651" i="1"/>
  <c r="D651" i="1"/>
  <c r="E651" i="1"/>
  <c r="F651" i="1"/>
  <c r="H651" i="1"/>
  <c r="I651" i="1"/>
  <c r="J651" i="1"/>
  <c r="K651" i="1"/>
  <c r="L651" i="1"/>
  <c r="M651" i="1"/>
  <c r="N651" i="1"/>
  <c r="O651" i="1"/>
  <c r="Q651" i="1"/>
  <c r="A652" i="1"/>
  <c r="B652" i="1"/>
  <c r="C652" i="1"/>
  <c r="D652" i="1"/>
  <c r="E652" i="1"/>
  <c r="F652" i="1"/>
  <c r="H652" i="1"/>
  <c r="I652" i="1"/>
  <c r="J652" i="1"/>
  <c r="K652" i="1"/>
  <c r="L652" i="1"/>
  <c r="M652" i="1"/>
  <c r="N652" i="1"/>
  <c r="O652" i="1"/>
  <c r="Q652" i="1"/>
  <c r="A653" i="1"/>
  <c r="B653" i="1"/>
  <c r="C653" i="1"/>
  <c r="D653" i="1"/>
  <c r="E653" i="1"/>
  <c r="F653" i="1"/>
  <c r="H653" i="1"/>
  <c r="I653" i="1"/>
  <c r="J653" i="1"/>
  <c r="K653" i="1"/>
  <c r="L653" i="1"/>
  <c r="M653" i="1"/>
  <c r="N653" i="1"/>
  <c r="O653" i="1"/>
  <c r="Q653" i="1"/>
  <c r="A654" i="1"/>
  <c r="B654" i="1"/>
  <c r="C654" i="1"/>
  <c r="D654" i="1"/>
  <c r="E654" i="1"/>
  <c r="F654" i="1"/>
  <c r="H654" i="1"/>
  <c r="I654" i="1"/>
  <c r="J654" i="1"/>
  <c r="K654" i="1"/>
  <c r="L654" i="1"/>
  <c r="M654" i="1"/>
  <c r="N654" i="1"/>
  <c r="O654" i="1"/>
  <c r="Q654" i="1"/>
  <c r="A655" i="1"/>
  <c r="B655" i="1"/>
  <c r="C655" i="1"/>
  <c r="D655" i="1"/>
  <c r="E655" i="1"/>
  <c r="F655" i="1"/>
  <c r="H655" i="1"/>
  <c r="I655" i="1"/>
  <c r="J655" i="1"/>
  <c r="K655" i="1"/>
  <c r="L655" i="1"/>
  <c r="M655" i="1"/>
  <c r="N655" i="1"/>
  <c r="O655" i="1"/>
  <c r="Q655" i="1"/>
  <c r="A656" i="1"/>
  <c r="B656" i="1"/>
  <c r="C656" i="1"/>
  <c r="D656" i="1"/>
  <c r="E656" i="1"/>
  <c r="F656" i="1"/>
  <c r="H656" i="1"/>
  <c r="I656" i="1"/>
  <c r="J656" i="1"/>
  <c r="K656" i="1"/>
  <c r="L656" i="1"/>
  <c r="M656" i="1"/>
  <c r="N656" i="1"/>
  <c r="O656" i="1"/>
  <c r="Q656" i="1"/>
  <c r="A657" i="1"/>
  <c r="B657" i="1"/>
  <c r="C657" i="1"/>
  <c r="D657" i="1"/>
  <c r="E657" i="1"/>
  <c r="F657" i="1"/>
  <c r="H657" i="1"/>
  <c r="I657" i="1"/>
  <c r="J657" i="1"/>
  <c r="K657" i="1"/>
  <c r="L657" i="1"/>
  <c r="M657" i="1"/>
  <c r="N657" i="1"/>
  <c r="O657" i="1"/>
  <c r="Q657" i="1"/>
  <c r="A658" i="1"/>
  <c r="B658" i="1"/>
  <c r="C658" i="1"/>
  <c r="D658" i="1"/>
  <c r="E658" i="1"/>
  <c r="F658" i="1"/>
  <c r="H658" i="1"/>
  <c r="I658" i="1"/>
  <c r="J658" i="1"/>
  <c r="K658" i="1"/>
  <c r="L658" i="1"/>
  <c r="M658" i="1"/>
  <c r="N658" i="1"/>
  <c r="O658" i="1"/>
  <c r="Q658" i="1"/>
  <c r="A659" i="1"/>
  <c r="B659" i="1"/>
  <c r="C659" i="1"/>
  <c r="D659" i="1"/>
  <c r="E659" i="1"/>
  <c r="F659" i="1"/>
  <c r="H659" i="1"/>
  <c r="I659" i="1"/>
  <c r="J659" i="1"/>
  <c r="K659" i="1"/>
  <c r="L659" i="1"/>
  <c r="M659" i="1"/>
  <c r="N659" i="1"/>
  <c r="O659" i="1"/>
  <c r="Q659" i="1"/>
  <c r="A660" i="1"/>
  <c r="B660" i="1"/>
  <c r="C660" i="1"/>
  <c r="D660" i="1"/>
  <c r="E660" i="1"/>
  <c r="F660" i="1"/>
  <c r="H660" i="1"/>
  <c r="I660" i="1"/>
  <c r="J660" i="1"/>
  <c r="K660" i="1"/>
  <c r="L660" i="1"/>
  <c r="M660" i="1"/>
  <c r="N660" i="1"/>
  <c r="O660" i="1"/>
  <c r="Q660" i="1"/>
  <c r="A661" i="1"/>
  <c r="B661" i="1"/>
  <c r="C661" i="1"/>
  <c r="D661" i="1"/>
  <c r="E661" i="1"/>
  <c r="F661" i="1"/>
  <c r="H661" i="1"/>
  <c r="I661" i="1"/>
  <c r="J661" i="1"/>
  <c r="K661" i="1"/>
  <c r="L661" i="1"/>
  <c r="M661" i="1"/>
  <c r="N661" i="1"/>
  <c r="O661" i="1"/>
  <c r="Q661" i="1"/>
  <c r="A662" i="1"/>
  <c r="B662" i="1"/>
  <c r="C662" i="1"/>
  <c r="D662" i="1"/>
  <c r="E662" i="1"/>
  <c r="F662" i="1"/>
  <c r="H662" i="1"/>
  <c r="I662" i="1"/>
  <c r="J662" i="1"/>
  <c r="K662" i="1"/>
  <c r="L662" i="1"/>
  <c r="M662" i="1"/>
  <c r="N662" i="1"/>
  <c r="O662" i="1"/>
  <c r="Q662" i="1"/>
</calcChain>
</file>

<file path=xl/sharedStrings.xml><?xml version="1.0" encoding="utf-8"?>
<sst xmlns="http://schemas.openxmlformats.org/spreadsheetml/2006/main" count="946" uniqueCount="75">
  <si>
    <t>Sample Name</t>
  </si>
  <si>
    <t>Analysis(Inj.)</t>
  </si>
  <si>
    <t>Area</t>
  </si>
  <si>
    <t>Conc.</t>
  </si>
  <si>
    <t>NPOC</t>
  </si>
  <si>
    <t>C_cal_100ppm</t>
  </si>
  <si>
    <t>TN</t>
  </si>
  <si>
    <t>N_cal_25ppm_acid_laurel</t>
  </si>
  <si>
    <t>DI</t>
  </si>
  <si>
    <t>25ppm</t>
  </si>
  <si>
    <t>K2so4</t>
  </si>
  <si>
    <t>1106</t>
  </si>
  <si>
    <t>1108</t>
  </si>
  <si>
    <t>1110</t>
  </si>
  <si>
    <t>1112</t>
  </si>
  <si>
    <t>1114</t>
  </si>
  <si>
    <t>1116</t>
  </si>
  <si>
    <t>1118</t>
  </si>
  <si>
    <t>1120</t>
  </si>
  <si>
    <t>1122</t>
  </si>
  <si>
    <t>1124</t>
  </si>
  <si>
    <t>1126</t>
  </si>
  <si>
    <t>1128</t>
  </si>
  <si>
    <t>1130</t>
  </si>
  <si>
    <t>1132</t>
  </si>
  <si>
    <t>1134</t>
  </si>
  <si>
    <t>1136</t>
  </si>
  <si>
    <t>1138</t>
  </si>
  <si>
    <t>1140</t>
  </si>
  <si>
    <t>1142</t>
  </si>
  <si>
    <t>1144</t>
  </si>
  <si>
    <t>1146</t>
  </si>
  <si>
    <t>1148</t>
  </si>
  <si>
    <t>1150</t>
  </si>
  <si>
    <t>1152</t>
  </si>
  <si>
    <t>1154</t>
  </si>
  <si>
    <t>1156</t>
  </si>
  <si>
    <t>1158</t>
  </si>
  <si>
    <t>1160</t>
  </si>
  <si>
    <t>1162</t>
  </si>
  <si>
    <t>1164</t>
  </si>
  <si>
    <t>1166</t>
  </si>
  <si>
    <t>1168</t>
  </si>
  <si>
    <t>1170</t>
  </si>
  <si>
    <t>1172</t>
  </si>
  <si>
    <t>1174</t>
  </si>
  <si>
    <t>1176</t>
  </si>
  <si>
    <t>1105</t>
  </si>
  <si>
    <t>1107</t>
  </si>
  <si>
    <t>1109</t>
  </si>
  <si>
    <t>1111</t>
  </si>
  <si>
    <t>1113</t>
  </si>
  <si>
    <t>1115</t>
  </si>
  <si>
    <t>1117</t>
  </si>
  <si>
    <t>1119</t>
  </si>
  <si>
    <t>1121</t>
  </si>
  <si>
    <t>1123</t>
  </si>
  <si>
    <t>1125</t>
  </si>
  <si>
    <t>1127</t>
  </si>
  <si>
    <t>1129</t>
  </si>
  <si>
    <t>1131</t>
  </si>
  <si>
    <t>1133</t>
  </si>
  <si>
    <t>1135</t>
  </si>
  <si>
    <t>1137</t>
  </si>
  <si>
    <t>1139</t>
  </si>
  <si>
    <t>1141</t>
  </si>
  <si>
    <t>1143</t>
  </si>
  <si>
    <t>1145</t>
  </si>
  <si>
    <t>1147</t>
  </si>
  <si>
    <t>1149</t>
  </si>
  <si>
    <t>1151</t>
  </si>
  <si>
    <t>1153</t>
  </si>
  <si>
    <t>1155</t>
  </si>
  <si>
    <t>1157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</si>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</sst>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8.7919999999999998</c:v>
                </c:pt>
                <c:pt idx="1">
                  <c:v>9.0879999999999992</c:v>
                </c:pt>
                <c:pt idx="2">
                  <c:v>8.8079999999999998</c:v>
                </c:pt>
                <c:pt idx="3">
                  <c:v>24.67</c:v>
                </c:pt>
                <c:pt idx="4">
                  <c:v>24.74</c:v>
                </c:pt>
                <c:pt idx="5">
                  <c:v>24.56</c:v>
                </c:pt>
                <c:pt idx="6">
                  <c:v>48.98</c:v>
                </c:pt>
                <c:pt idx="7">
                  <c:v>48.69</c:v>
                </c:pt>
                <c:pt idx="8">
                  <c:v>50.18</c:v>
                </c:pt>
                <c:pt idx="9">
                  <c:v>100</c:v>
                </c:pt>
                <c:pt idx="10">
                  <c:v>99.02</c:v>
                </c:pt>
                <c:pt idx="11">
                  <c:v>101.1</c:v>
                </c:pt>
                <c:pt idx="12">
                  <c:v>250.8</c:v>
                </c:pt>
                <c:pt idx="13">
                  <c:v>258.8</c:v>
                </c:pt>
                <c:pt idx="14">
                  <c:v>254.8</c:v>
                </c:pt>
                <c:pt idx="15">
                  <c:v>491.6</c:v>
                </c:pt>
                <c:pt idx="16">
                  <c:v>484.2</c:v>
                </c:pt>
                <c:pt idx="17">
                  <c:v>483.6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5-D64A-843D-D36E928A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3967"/>
        <c:axId val="1675407055"/>
      </c:scatterChart>
      <c:valAx>
        <c:axId val="16753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7055"/>
        <c:crosses val="autoZero"/>
        <c:crossBetween val="midCat"/>
      </c:valAx>
      <c:valAx>
        <c:axId val="16754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Sheet2!$O$2:$O$19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Sheet2!$N$2:$N$19</c:f>
              <c:numCache>
                <c:formatCode>General</c:formatCode>
                <c:ptCount val="18"/>
                <c:pt idx="0">
                  <c:v>2.2069999999999999</c:v>
                </c:pt>
                <c:pt idx="1">
                  <c:v>2.222</c:v>
                </c:pt>
                <c:pt idx="2">
                  <c:v>2.3460000000000001</c:v>
                </c:pt>
                <c:pt idx="3">
                  <c:v>4.3689999999999998</c:v>
                </c:pt>
                <c:pt idx="4">
                  <c:v>3.9329999999999998</c:v>
                </c:pt>
                <c:pt idx="5">
                  <c:v>4.0199999999999996</c:v>
                </c:pt>
                <c:pt idx="6">
                  <c:v>6.7889999999999997</c:v>
                </c:pt>
                <c:pt idx="7">
                  <c:v>7.3659999999999997</c:v>
                </c:pt>
                <c:pt idx="8">
                  <c:v>7.46</c:v>
                </c:pt>
                <c:pt idx="9">
                  <c:v>21.5</c:v>
                </c:pt>
                <c:pt idx="10">
                  <c:v>21.27</c:v>
                </c:pt>
                <c:pt idx="11">
                  <c:v>21.34</c:v>
                </c:pt>
                <c:pt idx="12">
                  <c:v>53.79</c:v>
                </c:pt>
                <c:pt idx="13">
                  <c:v>55.82</c:v>
                </c:pt>
                <c:pt idx="14">
                  <c:v>55.4</c:v>
                </c:pt>
                <c:pt idx="15">
                  <c:v>112.8</c:v>
                </c:pt>
                <c:pt idx="16">
                  <c:v>114.3</c:v>
                </c:pt>
                <c:pt idx="17">
                  <c:v>114.8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4-8840-89D2-BA7FFA11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3967"/>
        <c:axId val="1675407055"/>
      </c:scatterChart>
      <c:valAx>
        <c:axId val="16753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7055"/>
        <c:crosses val="autoZero"/>
        <c:crossBetween val="midCat"/>
      </c:valAx>
      <c:valAx>
        <c:axId val="16754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101600</xdr:rowOff>
    </xdr:from>
    <xdr:to>
      <xdr:col>10</xdr:col>
      <xdr:colOff>133350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6126C-6FD1-9344-838D-6A4DFC0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21</xdr:col>
      <xdr:colOff>444500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A3AD7-CE84-154C-B0E5-7915C233A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DE22-36CC-C04E-BC2C-89DB92715392}">
  <dimension ref="A1:Q662"/>
  <sheetViews>
    <sheetView workbookViewId="0">
      <selection activeCell="A13" sqref="A1:XFD1048576"/>
    </sheetView>
  </sheetViews>
  <sheetFormatPr baseColWidth="10" defaultRowHeight="16" x14ac:dyDescent="0.2"/>
  <sheetData>
    <row r="1" spans="1:17" x14ac:dyDescent="0.2">
      <c r="A1" t="str">
        <f>"Type"</f>
        <v>Type</v>
      </c>
      <c r="B1" t="str">
        <f>"Anal."</f>
        <v>Anal.</v>
      </c>
      <c r="C1" t="str">
        <f>"Sample Name"</f>
        <v>Sample Name</v>
      </c>
      <c r="D1" t="str">
        <f>"Sample ID"</f>
        <v>Sample ID</v>
      </c>
      <c r="E1" t="str">
        <f>"Origin"</f>
        <v>Origin</v>
      </c>
      <c r="F1" t="str">
        <f>"Cal. Curve"</f>
        <v>Cal. Curve</v>
      </c>
      <c r="G1" t="str">
        <f>"Dil."</f>
        <v>Dil.</v>
      </c>
      <c r="H1" t="str">
        <f>"Notes"</f>
        <v>Notes</v>
      </c>
      <c r="I1" t="str">
        <f>"Date / Time"</f>
        <v>Date / Time</v>
      </c>
      <c r="J1" t="str">
        <f>"Spl. No."</f>
        <v>Spl. No.</v>
      </c>
      <c r="K1" t="str">
        <f>"Inj. No."</f>
        <v>Inj. No.</v>
      </c>
      <c r="L1" t="str">
        <f>"Analysis(Inj.)"</f>
        <v>Analysis(Inj.)</v>
      </c>
      <c r="M1" t="str">
        <f>"Area"</f>
        <v>Area</v>
      </c>
      <c r="N1" t="str">
        <f>"Conc."</f>
        <v>Conc.</v>
      </c>
      <c r="O1" t="str">
        <f>"Result"</f>
        <v>Result</v>
      </c>
      <c r="P1" t="str">
        <f>"Excluded"</f>
        <v>Excluded</v>
      </c>
      <c r="Q1" t="str">
        <f>"Inj. Vol."</f>
        <v>Inj. Vol.</v>
      </c>
    </row>
    <row r="2" spans="1:17" x14ac:dyDescent="0.2">
      <c r="A2" t="str">
        <f>"Standard"</f>
        <v>Standard</v>
      </c>
      <c r="B2" t="str">
        <f>"NPOC"</f>
        <v>NPOC</v>
      </c>
      <c r="C2" t="str">
        <f>"C_cal_100ppm"</f>
        <v>C_cal_100ppm</v>
      </c>
      <c r="D2" t="str">
        <f>"C_cal_100ppm"</f>
        <v>C_cal_100ppm</v>
      </c>
      <c r="E2" t="str">
        <f>"C:\TOC3201\CalCurves\Itamar\C_cal_100ppm_acid_laurel.2019_08_21_13_17_46.cal"</f>
        <v>C:\TOC3201\CalCurves\Itamar\C_cal_100ppm_acid_laurel.2019_08_21_13_17_46.cal</v>
      </c>
      <c r="F2" t="str">
        <f>""</f>
        <v/>
      </c>
      <c r="G2">
        <v>1</v>
      </c>
      <c r="H2" t="str">
        <f>""</f>
        <v/>
      </c>
      <c r="I2" t="str">
        <f>"8/21/2019 1:28:12 PM"</f>
        <v>8/21/2019 1:28:12 PM</v>
      </c>
      <c r="J2" t="str">
        <f>"1"</f>
        <v>1</v>
      </c>
      <c r="K2" t="str">
        <f>"1"</f>
        <v>1</v>
      </c>
      <c r="L2" t="str">
        <f>"NPOC"</f>
        <v>NPOC</v>
      </c>
      <c r="M2" t="str">
        <f>"7.640"</f>
        <v>7.640</v>
      </c>
      <c r="N2" t="str">
        <f>"2.000"</f>
        <v>2.000</v>
      </c>
      <c r="O2" t="str">
        <f>" "</f>
        <v xml:space="preserve"> </v>
      </c>
      <c r="P2">
        <v>1</v>
      </c>
      <c r="Q2" t="str">
        <f>"80"</f>
        <v>80</v>
      </c>
    </row>
    <row r="3" spans="1:17" x14ac:dyDescent="0.2">
      <c r="A3" t="str">
        <f>"Standard"</f>
        <v>Standard</v>
      </c>
      <c r="B3" t="str">
        <f>"NPOC"</f>
        <v>NPOC</v>
      </c>
      <c r="C3" t="str">
        <f>"C_cal_100ppm"</f>
        <v>C_cal_100ppm</v>
      </c>
      <c r="D3" t="str">
        <f>"C_cal_100ppm"</f>
        <v>C_cal_100ppm</v>
      </c>
      <c r="E3" t="str">
        <f>"C:\TOC3201\CalCurves\Itamar\C_cal_100ppm_acid_laurel.2019_08_21_13_17_46.cal"</f>
        <v>C:\TOC3201\CalCurves\Itamar\C_cal_100ppm_acid_laurel.2019_08_21_13_17_46.cal</v>
      </c>
      <c r="F3" t="str">
        <f>""</f>
        <v/>
      </c>
      <c r="G3">
        <v>1</v>
      </c>
      <c r="H3" t="str">
        <f>""</f>
        <v/>
      </c>
      <c r="I3" t="str">
        <f>"8/21/2019 1:31:43 PM"</f>
        <v>8/21/2019 1:31:43 PM</v>
      </c>
      <c r="J3" t="str">
        <f>"1"</f>
        <v>1</v>
      </c>
      <c r="K3" t="str">
        <f>"2"</f>
        <v>2</v>
      </c>
      <c r="L3" t="str">
        <f>"NPOC"</f>
        <v>NPOC</v>
      </c>
      <c r="M3" t="str">
        <f>"8.792"</f>
        <v>8.792</v>
      </c>
      <c r="N3" t="str">
        <f>"2.000"</f>
        <v>2.000</v>
      </c>
      <c r="O3" t="str">
        <f>" "</f>
        <v xml:space="preserve"> </v>
      </c>
      <c r="P3">
        <v>0</v>
      </c>
      <c r="Q3" t="str">
        <f>"80"</f>
        <v>80</v>
      </c>
    </row>
    <row r="4" spans="1:17" x14ac:dyDescent="0.2">
      <c r="A4" t="str">
        <f>"Standard"</f>
        <v>Standard</v>
      </c>
      <c r="B4" t="str">
        <f>"NPOC"</f>
        <v>NPOC</v>
      </c>
      <c r="C4" t="str">
        <f>"C_cal_100ppm"</f>
        <v>C_cal_100ppm</v>
      </c>
      <c r="D4" t="str">
        <f>"C_cal_100ppm"</f>
        <v>C_cal_100ppm</v>
      </c>
      <c r="E4" t="str">
        <f>"C:\TOC3201\CalCurves\Itamar\C_cal_100ppm_acid_laurel.2019_08_21_13_17_46.cal"</f>
        <v>C:\TOC3201\CalCurves\Itamar\C_cal_100ppm_acid_laurel.2019_08_21_13_17_46.cal</v>
      </c>
      <c r="F4" t="str">
        <f>""</f>
        <v/>
      </c>
      <c r="G4">
        <v>1</v>
      </c>
      <c r="H4" t="str">
        <f>""</f>
        <v/>
      </c>
      <c r="I4" t="str">
        <f>"8/21/2019 1:35:16 PM"</f>
        <v>8/21/2019 1:35:16 PM</v>
      </c>
      <c r="J4" t="str">
        <f>"1"</f>
        <v>1</v>
      </c>
      <c r="K4" t="str">
        <f>"3"</f>
        <v>3</v>
      </c>
      <c r="L4" t="str">
        <f>"NPOC"</f>
        <v>NPOC</v>
      </c>
      <c r="M4" t="str">
        <f>"9.088"</f>
        <v>9.088</v>
      </c>
      <c r="N4" t="str">
        <f>"2.000"</f>
        <v>2.000</v>
      </c>
      <c r="O4" t="str">
        <f>" "</f>
        <v xml:space="preserve"> </v>
      </c>
      <c r="P4">
        <v>0</v>
      </c>
      <c r="Q4" t="str">
        <f>"80"</f>
        <v>80</v>
      </c>
    </row>
    <row r="5" spans="1:17" x14ac:dyDescent="0.2">
      <c r="A5" t="str">
        <f>"Standard"</f>
        <v>Standard</v>
      </c>
      <c r="B5" t="str">
        <f>"NPOC"</f>
        <v>NPOC</v>
      </c>
      <c r="C5" t="str">
        <f>"C_cal_100ppm"</f>
        <v>C_cal_100ppm</v>
      </c>
      <c r="D5" t="str">
        <f>"C_cal_100ppm"</f>
        <v>C_cal_100ppm</v>
      </c>
      <c r="E5" t="str">
        <f>"C:\TOC3201\CalCurves\Itamar\C_cal_100ppm_acid_laurel.2019_08_21_13_17_46.cal"</f>
        <v>C:\TOC3201\CalCurves\Itamar\C_cal_100ppm_acid_laurel.2019_08_21_13_17_46.cal</v>
      </c>
      <c r="F5" t="str">
        <f>""</f>
        <v/>
      </c>
      <c r="G5">
        <v>1</v>
      </c>
      <c r="H5" t="str">
        <f>""</f>
        <v/>
      </c>
      <c r="I5" t="str">
        <f>"8/21/2019 1:38:41 PM"</f>
        <v>8/21/2019 1:38:41 PM</v>
      </c>
      <c r="J5" t="str">
        <f>"1"</f>
        <v>1</v>
      </c>
      <c r="K5" t="str">
        <f>"4"</f>
        <v>4</v>
      </c>
      <c r="L5" t="str">
        <f>"NPOC"</f>
        <v>NPOC</v>
      </c>
      <c r="M5" t="str">
        <f>"9.345"</f>
        <v>9.345</v>
      </c>
      <c r="N5" t="str">
        <f>"2.000"</f>
        <v>2.000</v>
      </c>
      <c r="O5" t="str">
        <f>" "</f>
        <v xml:space="preserve"> </v>
      </c>
      <c r="P5">
        <v>1</v>
      </c>
      <c r="Q5" t="str">
        <f>"80"</f>
        <v>80</v>
      </c>
    </row>
    <row r="6" spans="1:17" x14ac:dyDescent="0.2">
      <c r="A6" t="str">
        <f>"Standard"</f>
        <v>Standard</v>
      </c>
      <c r="B6" t="str">
        <f>"NPOC"</f>
        <v>NPOC</v>
      </c>
      <c r="C6" t="str">
        <f>"C_cal_100ppm"</f>
        <v>C_cal_100ppm</v>
      </c>
      <c r="D6" t="str">
        <f>"C_cal_100ppm"</f>
        <v>C_cal_100ppm</v>
      </c>
      <c r="E6" t="str">
        <f>"C:\TOC3201\CalCurves\Itamar\C_cal_100ppm_acid_laurel.2019_08_21_13_17_46.cal"</f>
        <v>C:\TOC3201\CalCurves\Itamar\C_cal_100ppm_acid_laurel.2019_08_21_13_17_46.cal</v>
      </c>
      <c r="F6" t="str">
        <f>""</f>
        <v/>
      </c>
      <c r="G6">
        <v>1</v>
      </c>
      <c r="H6" t="str">
        <f>""</f>
        <v/>
      </c>
      <c r="I6" t="str">
        <f>"8/21/2019 1:41:56 PM"</f>
        <v>8/21/2019 1:41:56 PM</v>
      </c>
      <c r="J6" t="str">
        <f>"1"</f>
        <v>1</v>
      </c>
      <c r="K6" t="str">
        <f>"5"</f>
        <v>5</v>
      </c>
      <c r="L6" t="str">
        <f>"NPOC"</f>
        <v>NPOC</v>
      </c>
      <c r="M6" t="str">
        <f>"8.808"</f>
        <v>8.808</v>
      </c>
      <c r="N6" t="str">
        <f>"2.000"</f>
        <v>2.000</v>
      </c>
      <c r="O6" t="str">
        <f>" "</f>
        <v xml:space="preserve"> </v>
      </c>
      <c r="P6">
        <v>0</v>
      </c>
      <c r="Q6" t="str">
        <f>"80"</f>
        <v>80</v>
      </c>
    </row>
    <row r="7" spans="1:17" x14ac:dyDescent="0.2">
      <c r="A7" t="str">
        <f>"Standard"</f>
        <v>Standard</v>
      </c>
      <c r="B7" t="str">
        <f>"NPOC"</f>
        <v>NPOC</v>
      </c>
      <c r="C7" t="str">
        <f>"C_cal_100ppm"</f>
        <v>C_cal_100ppm</v>
      </c>
      <c r="D7" t="str">
        <f>"C_cal_100ppm"</f>
        <v>C_cal_100ppm</v>
      </c>
      <c r="E7" t="str">
        <f>"C:\TOC3201\CalCurves\Itamar\C_cal_100ppm_acid_laurel.2019_08_21_13_17_46.cal"</f>
        <v>C:\TOC3201\CalCurves\Itamar\C_cal_100ppm_acid_laurel.2019_08_21_13_17_46.cal</v>
      </c>
      <c r="F7" t="str">
        <f>""</f>
        <v/>
      </c>
      <c r="G7">
        <v>1</v>
      </c>
      <c r="H7" t="str">
        <f>""</f>
        <v/>
      </c>
      <c r="I7" t="str">
        <f>"8/21/2019 1:50:47 PM"</f>
        <v>8/21/2019 1:50:47 PM</v>
      </c>
      <c r="J7" t="str">
        <f>"2"</f>
        <v>2</v>
      </c>
      <c r="K7" t="str">
        <f>"1"</f>
        <v>1</v>
      </c>
      <c r="L7" t="str">
        <f>"NPOC"</f>
        <v>NPOC</v>
      </c>
      <c r="M7" t="str">
        <f>"24.67"</f>
        <v>24.67</v>
      </c>
      <c r="N7" t="str">
        <f>"5.000"</f>
        <v>5.000</v>
      </c>
      <c r="O7" t="str">
        <f>" "</f>
        <v xml:space="preserve"> </v>
      </c>
      <c r="P7">
        <v>0</v>
      </c>
      <c r="Q7" t="str">
        <f>"80"</f>
        <v>80</v>
      </c>
    </row>
    <row r="8" spans="1:17" x14ac:dyDescent="0.2">
      <c r="A8" t="str">
        <f>"Standard"</f>
        <v>Standard</v>
      </c>
      <c r="B8" t="str">
        <f>"NPOC"</f>
        <v>NPOC</v>
      </c>
      <c r="C8" t="str">
        <f>"C_cal_100ppm"</f>
        <v>C_cal_100ppm</v>
      </c>
      <c r="D8" t="str">
        <f>"C_cal_100ppm"</f>
        <v>C_cal_100ppm</v>
      </c>
      <c r="E8" t="str">
        <f>"C:\TOC3201\CalCurves\Itamar\C_cal_100ppm_acid_laurel.2019_08_21_13_17_46.cal"</f>
        <v>C:\TOC3201\CalCurves\Itamar\C_cal_100ppm_acid_laurel.2019_08_21_13_17_46.cal</v>
      </c>
      <c r="F8" t="str">
        <f>""</f>
        <v/>
      </c>
      <c r="G8">
        <v>1</v>
      </c>
      <c r="H8" t="str">
        <f>""</f>
        <v/>
      </c>
      <c r="I8" t="str">
        <f>"8/21/2019 1:54:11 PM"</f>
        <v>8/21/2019 1:54:11 PM</v>
      </c>
      <c r="J8" t="str">
        <f>"2"</f>
        <v>2</v>
      </c>
      <c r="K8" t="str">
        <f>"2"</f>
        <v>2</v>
      </c>
      <c r="L8" t="str">
        <f>"NPOC"</f>
        <v>NPOC</v>
      </c>
      <c r="M8" t="str">
        <f>"24.74"</f>
        <v>24.74</v>
      </c>
      <c r="N8" t="str">
        <f>"5.000"</f>
        <v>5.000</v>
      </c>
      <c r="O8" t="str">
        <f>" "</f>
        <v xml:space="preserve"> </v>
      </c>
      <c r="P8">
        <v>0</v>
      </c>
      <c r="Q8" t="str">
        <f>"80"</f>
        <v>80</v>
      </c>
    </row>
    <row r="9" spans="1:17" x14ac:dyDescent="0.2">
      <c r="A9" t="str">
        <f>"Standard"</f>
        <v>Standard</v>
      </c>
      <c r="B9" t="str">
        <f>"NPOC"</f>
        <v>NPOC</v>
      </c>
      <c r="C9" t="str">
        <f>"C_cal_100ppm"</f>
        <v>C_cal_100ppm</v>
      </c>
      <c r="D9" t="str">
        <f>"C_cal_100ppm"</f>
        <v>C_cal_100ppm</v>
      </c>
      <c r="E9" t="str">
        <f>"C:\TOC3201\CalCurves\Itamar\C_cal_100ppm_acid_laurel.2019_08_21_13_17_46.cal"</f>
        <v>C:\TOC3201\CalCurves\Itamar\C_cal_100ppm_acid_laurel.2019_08_21_13_17_46.cal</v>
      </c>
      <c r="F9" t="str">
        <f>""</f>
        <v/>
      </c>
      <c r="G9">
        <v>1</v>
      </c>
      <c r="H9" t="str">
        <f>""</f>
        <v/>
      </c>
      <c r="I9" t="str">
        <f>"8/21/2019 1:57:36 PM"</f>
        <v>8/21/2019 1:57:36 PM</v>
      </c>
      <c r="J9" t="str">
        <f>"2"</f>
        <v>2</v>
      </c>
      <c r="K9" t="str">
        <f>"3"</f>
        <v>3</v>
      </c>
      <c r="L9" t="str">
        <f>"NPOC"</f>
        <v>NPOC</v>
      </c>
      <c r="M9" t="str">
        <f>"26.09"</f>
        <v>26.09</v>
      </c>
      <c r="N9" t="str">
        <f>"5.000"</f>
        <v>5.000</v>
      </c>
      <c r="O9" t="str">
        <f>" "</f>
        <v xml:space="preserve"> </v>
      </c>
      <c r="P9">
        <v>1</v>
      </c>
      <c r="Q9" t="str">
        <f>"80"</f>
        <v>80</v>
      </c>
    </row>
    <row r="10" spans="1:17" x14ac:dyDescent="0.2">
      <c r="A10" t="str">
        <f>"Standard"</f>
        <v>Standard</v>
      </c>
      <c r="B10" t="str">
        <f>"NPOC"</f>
        <v>NPOC</v>
      </c>
      <c r="C10" t="str">
        <f>"C_cal_100ppm"</f>
        <v>C_cal_100ppm</v>
      </c>
      <c r="D10" t="str">
        <f>"C_cal_100ppm"</f>
        <v>C_cal_100ppm</v>
      </c>
      <c r="E10" t="str">
        <f>"C:\TOC3201\CalCurves\Itamar\C_cal_100ppm_acid_laurel.2019_08_21_13_17_46.cal"</f>
        <v>C:\TOC3201\CalCurves\Itamar\C_cal_100ppm_acid_laurel.2019_08_21_13_17_46.cal</v>
      </c>
      <c r="F10" t="str">
        <f>""</f>
        <v/>
      </c>
      <c r="G10">
        <v>1</v>
      </c>
      <c r="H10" t="str">
        <f>""</f>
        <v/>
      </c>
      <c r="I10" t="str">
        <f>"8/21/2019 2:01:07 PM"</f>
        <v>8/21/2019 2:01:07 PM</v>
      </c>
      <c r="J10" t="str">
        <f>"2"</f>
        <v>2</v>
      </c>
      <c r="K10" t="str">
        <f>"4"</f>
        <v>4</v>
      </c>
      <c r="L10" t="str">
        <f>"NPOC"</f>
        <v>NPOC</v>
      </c>
      <c r="M10" t="str">
        <f>"25.77"</f>
        <v>25.77</v>
      </c>
      <c r="N10" t="str">
        <f>"5.000"</f>
        <v>5.000</v>
      </c>
      <c r="O10" t="str">
        <f>" "</f>
        <v xml:space="preserve"> </v>
      </c>
      <c r="P10">
        <v>1</v>
      </c>
      <c r="Q10" t="str">
        <f>"80"</f>
        <v>80</v>
      </c>
    </row>
    <row r="11" spans="1:17" x14ac:dyDescent="0.2">
      <c r="A11" t="str">
        <f>"Standard"</f>
        <v>Standard</v>
      </c>
      <c r="B11" t="str">
        <f>"NPOC"</f>
        <v>NPOC</v>
      </c>
      <c r="C11" t="str">
        <f>"C_cal_100ppm"</f>
        <v>C_cal_100ppm</v>
      </c>
      <c r="D11" t="str">
        <f>"C_cal_100ppm"</f>
        <v>C_cal_100ppm</v>
      </c>
      <c r="E11" t="str">
        <f>"C:\TOC3201\CalCurves\Itamar\C_cal_100ppm_acid_laurel.2019_08_21_13_17_46.cal"</f>
        <v>C:\TOC3201\CalCurves\Itamar\C_cal_100ppm_acid_laurel.2019_08_21_13_17_46.cal</v>
      </c>
      <c r="F11" t="str">
        <f>""</f>
        <v/>
      </c>
      <c r="G11">
        <v>1</v>
      </c>
      <c r="H11" t="str">
        <f>""</f>
        <v/>
      </c>
      <c r="I11" t="str">
        <f>"8/21/2019 2:04:33 PM"</f>
        <v>8/21/2019 2:04:33 PM</v>
      </c>
      <c r="J11" t="str">
        <f>"2"</f>
        <v>2</v>
      </c>
      <c r="K11" t="str">
        <f>"5"</f>
        <v>5</v>
      </c>
      <c r="L11" t="str">
        <f>"NPOC"</f>
        <v>NPOC</v>
      </c>
      <c r="M11" t="str">
        <f>"24.56"</f>
        <v>24.56</v>
      </c>
      <c r="N11" t="str">
        <f>"5.000"</f>
        <v>5.000</v>
      </c>
      <c r="O11" t="str">
        <f>" "</f>
        <v xml:space="preserve"> </v>
      </c>
      <c r="P11">
        <v>0</v>
      </c>
      <c r="Q11" t="str">
        <f>"80"</f>
        <v>80</v>
      </c>
    </row>
    <row r="12" spans="1:17" x14ac:dyDescent="0.2">
      <c r="A12" t="str">
        <f>"Standard"</f>
        <v>Standard</v>
      </c>
      <c r="B12" t="str">
        <f>"NPOC"</f>
        <v>NPOC</v>
      </c>
      <c r="C12" t="str">
        <f>"C_cal_100ppm"</f>
        <v>C_cal_100ppm</v>
      </c>
      <c r="D12" t="str">
        <f>"C_cal_100ppm"</f>
        <v>C_cal_100ppm</v>
      </c>
      <c r="E12" t="str">
        <f>"C:\TOC3201\CalCurves\Itamar\C_cal_100ppm_acid_laurel.2019_08_21_13_17_46.cal"</f>
        <v>C:\TOC3201\CalCurves\Itamar\C_cal_100ppm_acid_laurel.2019_08_21_13_17_46.cal</v>
      </c>
      <c r="F12" t="str">
        <f>""</f>
        <v/>
      </c>
      <c r="G12">
        <v>1</v>
      </c>
      <c r="H12" t="str">
        <f>""</f>
        <v/>
      </c>
      <c r="I12" t="str">
        <f>"8/21/2019 2:13:31 PM"</f>
        <v>8/21/2019 2:13:31 PM</v>
      </c>
      <c r="J12" t="str">
        <f>"3"</f>
        <v>3</v>
      </c>
      <c r="K12" t="str">
        <f>"1"</f>
        <v>1</v>
      </c>
      <c r="L12" t="str">
        <f>"NPOC"</f>
        <v>NPOC</v>
      </c>
      <c r="M12" t="str">
        <f>"48.98"</f>
        <v>48.98</v>
      </c>
      <c r="N12" t="str">
        <f>"10.00"</f>
        <v>10.00</v>
      </c>
      <c r="O12" t="str">
        <f>" "</f>
        <v xml:space="preserve"> </v>
      </c>
      <c r="P12">
        <v>0</v>
      </c>
      <c r="Q12" t="str">
        <f>"80"</f>
        <v>80</v>
      </c>
    </row>
    <row r="13" spans="1:17" x14ac:dyDescent="0.2">
      <c r="A13" t="str">
        <f>"Standard"</f>
        <v>Standard</v>
      </c>
      <c r="B13" t="str">
        <f>"NPOC"</f>
        <v>NPOC</v>
      </c>
      <c r="C13" t="str">
        <f>"C_cal_100ppm"</f>
        <v>C_cal_100ppm</v>
      </c>
      <c r="D13" t="str">
        <f>"C_cal_100ppm"</f>
        <v>C_cal_100ppm</v>
      </c>
      <c r="E13" t="str">
        <f>"C:\TOC3201\CalCurves\Itamar\C_cal_100ppm_acid_laurel.2019_08_21_13_17_46.cal"</f>
        <v>C:\TOC3201\CalCurves\Itamar\C_cal_100ppm_acid_laurel.2019_08_21_13_17_46.cal</v>
      </c>
      <c r="F13" t="str">
        <f>""</f>
        <v/>
      </c>
      <c r="G13">
        <v>1</v>
      </c>
      <c r="H13" t="str">
        <f>""</f>
        <v/>
      </c>
      <c r="I13" t="str">
        <f>"8/21/2019 2:17:15 PM"</f>
        <v>8/21/2019 2:17:15 PM</v>
      </c>
      <c r="J13" t="str">
        <f>"3"</f>
        <v>3</v>
      </c>
      <c r="K13" t="str">
        <f>"2"</f>
        <v>2</v>
      </c>
      <c r="L13" t="str">
        <f>"NPOC"</f>
        <v>NPOC</v>
      </c>
      <c r="M13" t="str">
        <f>"48.69"</f>
        <v>48.69</v>
      </c>
      <c r="N13" t="str">
        <f>"10.00"</f>
        <v>10.00</v>
      </c>
      <c r="O13" t="str">
        <f>" "</f>
        <v xml:space="preserve"> </v>
      </c>
      <c r="P13">
        <v>0</v>
      </c>
      <c r="Q13" t="str">
        <f>"80"</f>
        <v>80</v>
      </c>
    </row>
    <row r="14" spans="1:17" x14ac:dyDescent="0.2">
      <c r="A14" t="str">
        <f>"Standard"</f>
        <v>Standard</v>
      </c>
      <c r="B14" t="str">
        <f>"NPOC"</f>
        <v>NPOC</v>
      </c>
      <c r="C14" t="str">
        <f>"C_cal_100ppm"</f>
        <v>C_cal_100ppm</v>
      </c>
      <c r="D14" t="str">
        <f>"C_cal_100ppm"</f>
        <v>C_cal_100ppm</v>
      </c>
      <c r="E14" t="str">
        <f>"C:\TOC3201\CalCurves\Itamar\C_cal_100ppm_acid_laurel.2019_08_21_13_17_46.cal"</f>
        <v>C:\TOC3201\CalCurves\Itamar\C_cal_100ppm_acid_laurel.2019_08_21_13_17_46.cal</v>
      </c>
      <c r="F14" t="str">
        <f>""</f>
        <v/>
      </c>
      <c r="G14">
        <v>1</v>
      </c>
      <c r="H14" t="str">
        <f>""</f>
        <v/>
      </c>
      <c r="I14" t="str">
        <f>"8/21/2019 2:20:53 PM"</f>
        <v>8/21/2019 2:20:53 PM</v>
      </c>
      <c r="J14" t="str">
        <f>"3"</f>
        <v>3</v>
      </c>
      <c r="K14" t="str">
        <f>"3"</f>
        <v>3</v>
      </c>
      <c r="L14" t="str">
        <f>"NPOC"</f>
        <v>NPOC</v>
      </c>
      <c r="M14" t="str">
        <f>"50.95"</f>
        <v>50.95</v>
      </c>
      <c r="N14" t="str">
        <f>"10.00"</f>
        <v>10.00</v>
      </c>
      <c r="O14" t="str">
        <f>" "</f>
        <v xml:space="preserve"> </v>
      </c>
      <c r="P14">
        <v>1</v>
      </c>
      <c r="Q14" t="str">
        <f>"80"</f>
        <v>80</v>
      </c>
    </row>
    <row r="15" spans="1:17" x14ac:dyDescent="0.2">
      <c r="A15" t="str">
        <f>"Standard"</f>
        <v>Standard</v>
      </c>
      <c r="B15" t="str">
        <f>"NPOC"</f>
        <v>NPOC</v>
      </c>
      <c r="C15" t="str">
        <f>"C_cal_100ppm"</f>
        <v>C_cal_100ppm</v>
      </c>
      <c r="D15" t="str">
        <f>"C_cal_100ppm"</f>
        <v>C_cal_100ppm</v>
      </c>
      <c r="E15" t="str">
        <f>"C:\TOC3201\CalCurves\Itamar\C_cal_100ppm_acid_laurel.2019_08_21_13_17_46.cal"</f>
        <v>C:\TOC3201\CalCurves\Itamar\C_cal_100ppm_acid_laurel.2019_08_21_13_17_46.cal</v>
      </c>
      <c r="F15" t="str">
        <f>""</f>
        <v/>
      </c>
      <c r="G15">
        <v>1</v>
      </c>
      <c r="H15" t="str">
        <f>""</f>
        <v/>
      </c>
      <c r="I15" t="str">
        <f>"8/21/2019 2:24:28 PM"</f>
        <v>8/21/2019 2:24:28 PM</v>
      </c>
      <c r="J15" t="str">
        <f>"3"</f>
        <v>3</v>
      </c>
      <c r="K15" t="str">
        <f>"4"</f>
        <v>4</v>
      </c>
      <c r="L15" t="str">
        <f>"NPOC"</f>
        <v>NPOC</v>
      </c>
      <c r="M15" t="str">
        <f>"50.18"</f>
        <v>50.18</v>
      </c>
      <c r="N15" t="str">
        <f>"10.00"</f>
        <v>10.00</v>
      </c>
      <c r="O15" t="str">
        <f>" "</f>
        <v xml:space="preserve"> </v>
      </c>
      <c r="P15">
        <v>0</v>
      </c>
      <c r="Q15" t="str">
        <f>"80"</f>
        <v>80</v>
      </c>
    </row>
    <row r="16" spans="1:17" x14ac:dyDescent="0.2">
      <c r="A16" t="str">
        <f>"Standard"</f>
        <v>Standard</v>
      </c>
      <c r="B16" t="str">
        <f>"NPOC"</f>
        <v>NPOC</v>
      </c>
      <c r="C16" t="str">
        <f>"C_cal_100ppm"</f>
        <v>C_cal_100ppm</v>
      </c>
      <c r="D16" t="str">
        <f>"C_cal_100ppm"</f>
        <v>C_cal_100ppm</v>
      </c>
      <c r="E16" t="str">
        <f>"C:\TOC3201\CalCurves\Itamar\C_cal_100ppm_acid_laurel.2019_08_21_13_17_46.cal"</f>
        <v>C:\TOC3201\CalCurves\Itamar\C_cal_100ppm_acid_laurel.2019_08_21_13_17_46.cal</v>
      </c>
      <c r="F16" t="str">
        <f>""</f>
        <v/>
      </c>
      <c r="G16">
        <v>1</v>
      </c>
      <c r="H16" t="str">
        <f>""</f>
        <v/>
      </c>
      <c r="I16" t="str">
        <f>"8/21/2019 2:33:48 PM"</f>
        <v>8/21/2019 2:33:48 PM</v>
      </c>
      <c r="J16" t="str">
        <f>"4"</f>
        <v>4</v>
      </c>
      <c r="K16" t="str">
        <f>"1"</f>
        <v>1</v>
      </c>
      <c r="L16" t="str">
        <f>"NPOC"</f>
        <v>NPOC</v>
      </c>
      <c r="M16" t="str">
        <f>"100.0"</f>
        <v>100.0</v>
      </c>
      <c r="N16" t="str">
        <f>"20.00"</f>
        <v>20.00</v>
      </c>
      <c r="O16" t="str">
        <f>" "</f>
        <v xml:space="preserve"> </v>
      </c>
      <c r="P16">
        <v>0</v>
      </c>
      <c r="Q16" t="str">
        <f>"80"</f>
        <v>80</v>
      </c>
    </row>
    <row r="17" spans="1:17" x14ac:dyDescent="0.2">
      <c r="A17" t="str">
        <f>"Standard"</f>
        <v>Standard</v>
      </c>
      <c r="B17" t="str">
        <f>"NPOC"</f>
        <v>NPOC</v>
      </c>
      <c r="C17" t="str">
        <f>"C_cal_100ppm"</f>
        <v>C_cal_100ppm</v>
      </c>
      <c r="D17" t="str">
        <f>"C_cal_100ppm"</f>
        <v>C_cal_100ppm</v>
      </c>
      <c r="E17" t="str">
        <f>"C:\TOC3201\CalCurves\Itamar\C_cal_100ppm_acid_laurel.2019_08_21_13_17_46.cal"</f>
        <v>C:\TOC3201\CalCurves\Itamar\C_cal_100ppm_acid_laurel.2019_08_21_13_17_46.cal</v>
      </c>
      <c r="F17" t="str">
        <f>""</f>
        <v/>
      </c>
      <c r="G17">
        <v>1</v>
      </c>
      <c r="H17" t="str">
        <f>""</f>
        <v/>
      </c>
      <c r="I17" t="str">
        <f>"8/21/2019 2:37:43 PM"</f>
        <v>8/21/2019 2:37:43 PM</v>
      </c>
      <c r="J17" t="str">
        <f>"4"</f>
        <v>4</v>
      </c>
      <c r="K17" t="str">
        <f>"2"</f>
        <v>2</v>
      </c>
      <c r="L17" t="str">
        <f>"NPOC"</f>
        <v>NPOC</v>
      </c>
      <c r="M17" t="str">
        <f>"99.02"</f>
        <v>99.02</v>
      </c>
      <c r="N17" t="str">
        <f>"20.00"</f>
        <v>20.00</v>
      </c>
      <c r="O17" t="str">
        <f>" "</f>
        <v xml:space="preserve"> </v>
      </c>
      <c r="P17">
        <v>0</v>
      </c>
      <c r="Q17" t="str">
        <f>"80"</f>
        <v>80</v>
      </c>
    </row>
    <row r="18" spans="1:17" x14ac:dyDescent="0.2">
      <c r="A18" t="str">
        <f>"Standard"</f>
        <v>Standard</v>
      </c>
      <c r="B18" t="str">
        <f>"NPOC"</f>
        <v>NPOC</v>
      </c>
      <c r="C18" t="str">
        <f>"C_cal_100ppm"</f>
        <v>C_cal_100ppm</v>
      </c>
      <c r="D18" t="str">
        <f>"C_cal_100ppm"</f>
        <v>C_cal_100ppm</v>
      </c>
      <c r="E18" t="str">
        <f>"C:\TOC3201\CalCurves\Itamar\C_cal_100ppm_acid_laurel.2019_08_21_13_17_46.cal"</f>
        <v>C:\TOC3201\CalCurves\Itamar\C_cal_100ppm_acid_laurel.2019_08_21_13_17_46.cal</v>
      </c>
      <c r="F18" t="str">
        <f>""</f>
        <v/>
      </c>
      <c r="G18">
        <v>1</v>
      </c>
      <c r="H18" t="str">
        <f>""</f>
        <v/>
      </c>
      <c r="I18" t="str">
        <f>"8/21/2019 2:41:31 PM"</f>
        <v>8/21/2019 2:41:31 PM</v>
      </c>
      <c r="J18" t="str">
        <f>"4"</f>
        <v>4</v>
      </c>
      <c r="K18" t="str">
        <f>"3"</f>
        <v>3</v>
      </c>
      <c r="L18" t="str">
        <f>"NPOC"</f>
        <v>NPOC</v>
      </c>
      <c r="M18" t="str">
        <f>"101.1"</f>
        <v>101.1</v>
      </c>
      <c r="N18" t="str">
        <f>"20.00"</f>
        <v>20.00</v>
      </c>
      <c r="O18" t="str">
        <f>" "</f>
        <v xml:space="preserve"> </v>
      </c>
      <c r="P18">
        <v>0</v>
      </c>
      <c r="Q18" t="str">
        <f>"80"</f>
        <v>80</v>
      </c>
    </row>
    <row r="19" spans="1:17" x14ac:dyDescent="0.2">
      <c r="A19" t="str">
        <f>"Standard"</f>
        <v>Standard</v>
      </c>
      <c r="B19" t="str">
        <f>"NPOC"</f>
        <v>NPOC</v>
      </c>
      <c r="C19" t="str">
        <f>"C_cal_100ppm"</f>
        <v>C_cal_100ppm</v>
      </c>
      <c r="D19" t="str">
        <f>"C_cal_100ppm"</f>
        <v>C_cal_100ppm</v>
      </c>
      <c r="E19" t="str">
        <f>"C:\TOC3201\CalCurves\Itamar\C_cal_100ppm_acid_laurel.2019_08_21_13_17_46.cal"</f>
        <v>C:\TOC3201\CalCurves\Itamar\C_cal_100ppm_acid_laurel.2019_08_21_13_17_46.cal</v>
      </c>
      <c r="F19" t="str">
        <f>""</f>
        <v/>
      </c>
      <c r="G19">
        <v>1</v>
      </c>
      <c r="H19" t="str">
        <f>""</f>
        <v/>
      </c>
      <c r="I19" t="str">
        <f>"8/21/2019 2:50:55 PM"</f>
        <v>8/21/2019 2:50:55 PM</v>
      </c>
      <c r="J19" t="str">
        <f>"5"</f>
        <v>5</v>
      </c>
      <c r="K19" t="str">
        <f>"1"</f>
        <v>1</v>
      </c>
      <c r="L19" t="str">
        <f>"NPOC"</f>
        <v>NPOC</v>
      </c>
      <c r="M19" t="str">
        <f>"250.8"</f>
        <v>250.8</v>
      </c>
      <c r="N19" t="str">
        <f>"50.00"</f>
        <v>50.00</v>
      </c>
      <c r="O19" t="str">
        <f>" "</f>
        <v xml:space="preserve"> </v>
      </c>
      <c r="P19">
        <v>0</v>
      </c>
      <c r="Q19" t="str">
        <f>"80"</f>
        <v>80</v>
      </c>
    </row>
    <row r="20" spans="1:17" x14ac:dyDescent="0.2">
      <c r="A20" t="str">
        <f>"Standard"</f>
        <v>Standard</v>
      </c>
      <c r="B20" t="str">
        <f>"NPOC"</f>
        <v>NPOC</v>
      </c>
      <c r="C20" t="str">
        <f>"C_cal_100ppm"</f>
        <v>C_cal_100ppm</v>
      </c>
      <c r="D20" t="str">
        <f>"C_cal_100ppm"</f>
        <v>C_cal_100ppm</v>
      </c>
      <c r="E20" t="str">
        <f>"C:\TOC3201\CalCurves\Itamar\C_cal_100ppm_acid_laurel.2019_08_21_13_17_46.cal"</f>
        <v>C:\TOC3201\CalCurves\Itamar\C_cal_100ppm_acid_laurel.2019_08_21_13_17_46.cal</v>
      </c>
      <c r="F20" t="str">
        <f>""</f>
        <v/>
      </c>
      <c r="G20">
        <v>1</v>
      </c>
      <c r="H20" t="str">
        <f>""</f>
        <v/>
      </c>
      <c r="I20" t="str">
        <f>"8/21/2019 2:54:55 PM"</f>
        <v>8/21/2019 2:54:55 PM</v>
      </c>
      <c r="J20" t="str">
        <f>"5"</f>
        <v>5</v>
      </c>
      <c r="K20" t="str">
        <f>"2"</f>
        <v>2</v>
      </c>
      <c r="L20" t="str">
        <f>"NPOC"</f>
        <v>NPOC</v>
      </c>
      <c r="M20" t="str">
        <f>"243.2"</f>
        <v>243.2</v>
      </c>
      <c r="N20" t="str">
        <f>"50.00"</f>
        <v>50.00</v>
      </c>
      <c r="O20" t="str">
        <f>" "</f>
        <v xml:space="preserve"> </v>
      </c>
      <c r="P20">
        <v>1</v>
      </c>
      <c r="Q20" t="str">
        <f>"80"</f>
        <v>80</v>
      </c>
    </row>
    <row r="21" spans="1:17" x14ac:dyDescent="0.2">
      <c r="A21" t="str">
        <f>"Standard"</f>
        <v>Standard</v>
      </c>
      <c r="B21" t="str">
        <f>"NPOC"</f>
        <v>NPOC</v>
      </c>
      <c r="C21" t="str">
        <f>"C_cal_100ppm"</f>
        <v>C_cal_100ppm</v>
      </c>
      <c r="D21" t="str">
        <f>"C_cal_100ppm"</f>
        <v>C_cal_100ppm</v>
      </c>
      <c r="E21" t="str">
        <f>"C:\TOC3201\CalCurves\Itamar\C_cal_100ppm_acid_laurel.2019_08_21_13_17_46.cal"</f>
        <v>C:\TOC3201\CalCurves\Itamar\C_cal_100ppm_acid_laurel.2019_08_21_13_17_46.cal</v>
      </c>
      <c r="F21" t="str">
        <f>""</f>
        <v/>
      </c>
      <c r="G21">
        <v>1</v>
      </c>
      <c r="H21" t="str">
        <f>""</f>
        <v/>
      </c>
      <c r="I21" t="str">
        <f>"8/21/2019 2:58:49 PM"</f>
        <v>8/21/2019 2:58:49 PM</v>
      </c>
      <c r="J21" t="str">
        <f>"5"</f>
        <v>5</v>
      </c>
      <c r="K21" t="str">
        <f>"3"</f>
        <v>3</v>
      </c>
      <c r="L21" t="str">
        <f>"NPOC"</f>
        <v>NPOC</v>
      </c>
      <c r="M21" t="str">
        <f>"258.8"</f>
        <v>258.8</v>
      </c>
      <c r="N21" t="str">
        <f>"50.00"</f>
        <v>50.00</v>
      </c>
      <c r="O21" t="str">
        <f>" "</f>
        <v xml:space="preserve"> </v>
      </c>
      <c r="P21">
        <v>0</v>
      </c>
      <c r="Q21" t="str">
        <f>"80"</f>
        <v>80</v>
      </c>
    </row>
    <row r="22" spans="1:17" x14ac:dyDescent="0.2">
      <c r="A22" t="str">
        <f>"Standard"</f>
        <v>Standard</v>
      </c>
      <c r="B22" t="str">
        <f>"NPOC"</f>
        <v>NPOC</v>
      </c>
      <c r="C22" t="str">
        <f>"C_cal_100ppm"</f>
        <v>C_cal_100ppm</v>
      </c>
      <c r="D22" t="str">
        <f>"C_cal_100ppm"</f>
        <v>C_cal_100ppm</v>
      </c>
      <c r="E22" t="str">
        <f>"C:\TOC3201\CalCurves\Itamar\C_cal_100ppm_acid_laurel.2019_08_21_13_17_46.cal"</f>
        <v>C:\TOC3201\CalCurves\Itamar\C_cal_100ppm_acid_laurel.2019_08_21_13_17_46.cal</v>
      </c>
      <c r="F22" t="str">
        <f>""</f>
        <v/>
      </c>
      <c r="G22">
        <v>1</v>
      </c>
      <c r="H22" t="str">
        <f>""</f>
        <v/>
      </c>
      <c r="I22" t="str">
        <f>"8/21/2019 3:02:49 PM"</f>
        <v>8/21/2019 3:02:49 PM</v>
      </c>
      <c r="J22" t="str">
        <f>"5"</f>
        <v>5</v>
      </c>
      <c r="K22" t="str">
        <f>"4"</f>
        <v>4</v>
      </c>
      <c r="L22" t="str">
        <f>"NPOC"</f>
        <v>NPOC</v>
      </c>
      <c r="M22" t="str">
        <f>"254.8"</f>
        <v>254.8</v>
      </c>
      <c r="N22" t="str">
        <f>"50.00"</f>
        <v>50.00</v>
      </c>
      <c r="O22" t="str">
        <f>" "</f>
        <v xml:space="preserve"> </v>
      </c>
      <c r="P22">
        <v>0</v>
      </c>
      <c r="Q22" t="str">
        <f>"80"</f>
        <v>80</v>
      </c>
    </row>
    <row r="23" spans="1:17" x14ac:dyDescent="0.2">
      <c r="A23" t="str">
        <f>"Standard"</f>
        <v>Standard</v>
      </c>
      <c r="B23" t="str">
        <f>"NPOC"</f>
        <v>NPOC</v>
      </c>
      <c r="C23" t="str">
        <f>"C_cal_100ppm"</f>
        <v>C_cal_100ppm</v>
      </c>
      <c r="D23" t="str">
        <f>"C_cal_100ppm"</f>
        <v>C_cal_100ppm</v>
      </c>
      <c r="E23" t="str">
        <f>"C:\TOC3201\CalCurves\Itamar\C_cal_100ppm_acid_laurel.2019_08_21_13_17_46.cal"</f>
        <v>C:\TOC3201\CalCurves\Itamar\C_cal_100ppm_acid_laurel.2019_08_21_13_17_46.cal</v>
      </c>
      <c r="F23" t="str">
        <f>""</f>
        <v/>
      </c>
      <c r="G23">
        <v>1</v>
      </c>
      <c r="H23" t="str">
        <f>""</f>
        <v/>
      </c>
      <c r="I23" t="str">
        <f>"8/21/2019 3:11:35 PM"</f>
        <v>8/21/2019 3:11:35 PM</v>
      </c>
      <c r="J23" t="str">
        <f>"6"</f>
        <v>6</v>
      </c>
      <c r="K23" t="str">
        <f>"1"</f>
        <v>1</v>
      </c>
      <c r="L23" t="str">
        <f>"NPOC"</f>
        <v>NPOC</v>
      </c>
      <c r="M23" t="str">
        <f>"510.0"</f>
        <v>510.0</v>
      </c>
      <c r="N23" t="str">
        <f>"100.0"</f>
        <v>100.0</v>
      </c>
      <c r="O23" t="str">
        <f>" "</f>
        <v xml:space="preserve"> </v>
      </c>
      <c r="P23">
        <v>1</v>
      </c>
      <c r="Q23" t="str">
        <f>"80"</f>
        <v>80</v>
      </c>
    </row>
    <row r="24" spans="1:17" x14ac:dyDescent="0.2">
      <c r="A24" t="str">
        <f>"Standard"</f>
        <v>Standard</v>
      </c>
      <c r="B24" t="str">
        <f>"NPOC"</f>
        <v>NPOC</v>
      </c>
      <c r="C24" t="str">
        <f>"C_cal_100ppm"</f>
        <v>C_cal_100ppm</v>
      </c>
      <c r="D24" t="str">
        <f>"C_cal_100ppm"</f>
        <v>C_cal_100ppm</v>
      </c>
      <c r="E24" t="str">
        <f>"C:\TOC3201\CalCurves\Itamar\C_cal_100ppm_acid_laurel.2019_08_21_13_17_46.cal"</f>
        <v>C:\TOC3201\CalCurves\Itamar\C_cal_100ppm_acid_laurel.2019_08_21_13_17_46.cal</v>
      </c>
      <c r="F24" t="str">
        <f>""</f>
        <v/>
      </c>
      <c r="G24">
        <v>1</v>
      </c>
      <c r="H24" t="str">
        <f>""</f>
        <v/>
      </c>
      <c r="I24" t="str">
        <f>"8/21/2019 3:15:33 PM"</f>
        <v>8/21/2019 3:15:33 PM</v>
      </c>
      <c r="J24" t="str">
        <f>"6"</f>
        <v>6</v>
      </c>
      <c r="K24" t="str">
        <f>"2"</f>
        <v>2</v>
      </c>
      <c r="L24" t="str">
        <f>"NPOC"</f>
        <v>NPOC</v>
      </c>
      <c r="M24" t="str">
        <f>"491.6"</f>
        <v>491.6</v>
      </c>
      <c r="N24" t="str">
        <f>"100.0"</f>
        <v>100.0</v>
      </c>
      <c r="O24" t="str">
        <f>" "</f>
        <v xml:space="preserve"> </v>
      </c>
      <c r="P24">
        <v>0</v>
      </c>
      <c r="Q24" t="str">
        <f>"80"</f>
        <v>80</v>
      </c>
    </row>
    <row r="25" spans="1:17" x14ac:dyDescent="0.2">
      <c r="A25" t="str">
        <f>"Standard"</f>
        <v>Standard</v>
      </c>
      <c r="B25" t="str">
        <f>"NPOC"</f>
        <v>NPOC</v>
      </c>
      <c r="C25" t="str">
        <f>"C_cal_100ppm"</f>
        <v>C_cal_100ppm</v>
      </c>
      <c r="D25" t="str">
        <f>"C_cal_100ppm"</f>
        <v>C_cal_100ppm</v>
      </c>
      <c r="E25" t="str">
        <f>"C:\TOC3201\CalCurves\Itamar\C_cal_100ppm_acid_laurel.2019_08_21_13_17_46.cal"</f>
        <v>C:\TOC3201\CalCurves\Itamar\C_cal_100ppm_acid_laurel.2019_08_21_13_17_46.cal</v>
      </c>
      <c r="F25" t="str">
        <f>""</f>
        <v/>
      </c>
      <c r="G25">
        <v>1</v>
      </c>
      <c r="H25" t="str">
        <f>""</f>
        <v/>
      </c>
      <c r="I25" t="str">
        <f>"8/21/2019 3:19:48 PM"</f>
        <v>8/21/2019 3:19:48 PM</v>
      </c>
      <c r="J25" t="str">
        <f>"6"</f>
        <v>6</v>
      </c>
      <c r="K25" t="str">
        <f>"3"</f>
        <v>3</v>
      </c>
      <c r="L25" t="str">
        <f>"NPOC"</f>
        <v>NPOC</v>
      </c>
      <c r="M25" t="str">
        <f>"484.2"</f>
        <v>484.2</v>
      </c>
      <c r="N25" t="str">
        <f>"100.0"</f>
        <v>100.0</v>
      </c>
      <c r="O25" t="str">
        <f>" "</f>
        <v xml:space="preserve"> </v>
      </c>
      <c r="P25">
        <v>0</v>
      </c>
      <c r="Q25" t="str">
        <f>"80"</f>
        <v>80</v>
      </c>
    </row>
    <row r="26" spans="1:17" x14ac:dyDescent="0.2">
      <c r="A26" t="str">
        <f>"Standard"</f>
        <v>Standard</v>
      </c>
      <c r="B26" t="str">
        <f>"NPOC"</f>
        <v>NPOC</v>
      </c>
      <c r="C26" t="str">
        <f>"C_cal_100ppm"</f>
        <v>C_cal_100ppm</v>
      </c>
      <c r="D26" t="str">
        <f>"C_cal_100ppm"</f>
        <v>C_cal_100ppm</v>
      </c>
      <c r="E26" t="str">
        <f>"C:\TOC3201\CalCurves\Itamar\C_cal_100ppm_acid_laurel.2019_08_21_13_17_46.cal"</f>
        <v>C:\TOC3201\CalCurves\Itamar\C_cal_100ppm_acid_laurel.2019_08_21_13_17_46.cal</v>
      </c>
      <c r="F26" t="str">
        <f>""</f>
        <v/>
      </c>
      <c r="G26">
        <v>1</v>
      </c>
      <c r="H26" t="str">
        <f>""</f>
        <v/>
      </c>
      <c r="I26" t="str">
        <f>"8/21/2019 3:23:49 PM"</f>
        <v>8/21/2019 3:23:49 PM</v>
      </c>
      <c r="J26" t="str">
        <f>"6"</f>
        <v>6</v>
      </c>
      <c r="K26" t="str">
        <f>"4"</f>
        <v>4</v>
      </c>
      <c r="L26" t="str">
        <f>"NPOC"</f>
        <v>NPOC</v>
      </c>
      <c r="M26" t="str">
        <f>"483.6"</f>
        <v>483.6</v>
      </c>
      <c r="N26" t="str">
        <f>"100.0"</f>
        <v>100.0</v>
      </c>
      <c r="O26" t="str">
        <f>" "</f>
        <v xml:space="preserve"> </v>
      </c>
      <c r="P26">
        <v>0</v>
      </c>
      <c r="Q26" t="str">
        <f>"80"</f>
        <v>80</v>
      </c>
    </row>
    <row r="27" spans="1:17" x14ac:dyDescent="0.2">
      <c r="A27" t="str">
        <f>"Standard"</f>
        <v>Standard</v>
      </c>
      <c r="B27" t="str">
        <f>"TN"</f>
        <v>TN</v>
      </c>
      <c r="C27" t="str">
        <f>"N_cal_25ppm_acid_laurel"</f>
        <v>N_cal_25ppm_acid_laurel</v>
      </c>
      <c r="D27" t="str">
        <f>"N_cal_25ppm_acid_laurel"</f>
        <v>N_cal_25ppm_acid_laurel</v>
      </c>
      <c r="E27" t="str">
        <f>"C:\TOC3201\CalCurves\Itamar\N_cal_25ppm_acid_laurel.2019_08_21_15_23_49.cal"</f>
        <v>C:\TOC3201\CalCurves\Itamar\N_cal_25ppm_acid_laurel.2019_08_21_15_23_49.cal</v>
      </c>
      <c r="F27" t="str">
        <f>""</f>
        <v/>
      </c>
      <c r="G27">
        <v>1</v>
      </c>
      <c r="H27" t="str">
        <f>""</f>
        <v/>
      </c>
      <c r="I27" t="str">
        <f>"8/21/2019 3:33:00 PM"</f>
        <v>8/21/2019 3:33:00 PM</v>
      </c>
      <c r="J27" t="str">
        <f>"1"</f>
        <v>1</v>
      </c>
      <c r="K27" t="str">
        <f>"1"</f>
        <v>1</v>
      </c>
      <c r="L27" t="str">
        <f>"TN"</f>
        <v>TN</v>
      </c>
      <c r="M27" t="str">
        <f>"3.287"</f>
        <v>3.287</v>
      </c>
      <c r="N27" t="str">
        <f>"0.5000"</f>
        <v>0.5000</v>
      </c>
      <c r="O27" t="str">
        <f>" "</f>
        <v xml:space="preserve"> </v>
      </c>
      <c r="P27">
        <v>1</v>
      </c>
      <c r="Q27" t="str">
        <f>"100"</f>
        <v>100</v>
      </c>
    </row>
    <row r="28" spans="1:17" x14ac:dyDescent="0.2">
      <c r="A28" t="str">
        <f>"Standard"</f>
        <v>Standard</v>
      </c>
      <c r="B28" t="str">
        <f>"TN"</f>
        <v>TN</v>
      </c>
      <c r="C28" t="str">
        <f>"N_cal_25ppm_acid_laurel"</f>
        <v>N_cal_25ppm_acid_laurel</v>
      </c>
      <c r="D28" t="str">
        <f>"N_cal_25ppm_acid_laurel"</f>
        <v>N_cal_25ppm_acid_laurel</v>
      </c>
      <c r="E28" t="str">
        <f>"C:\TOC3201\CalCurves\Itamar\N_cal_25ppm_acid_laurel.2019_08_21_15_23_49.cal"</f>
        <v>C:\TOC3201\CalCurves\Itamar\N_cal_25ppm_acid_laurel.2019_08_21_15_23_49.cal</v>
      </c>
      <c r="F28" t="str">
        <f>""</f>
        <v/>
      </c>
      <c r="G28">
        <v>1</v>
      </c>
      <c r="H28" t="str">
        <f>""</f>
        <v/>
      </c>
      <c r="I28" t="str">
        <f>"8/21/2019 3:36:18 PM"</f>
        <v>8/21/2019 3:36:18 PM</v>
      </c>
      <c r="J28" t="str">
        <f>"1"</f>
        <v>1</v>
      </c>
      <c r="K28" t="str">
        <f>"2"</f>
        <v>2</v>
      </c>
      <c r="L28" t="str">
        <f>"TN"</f>
        <v>TN</v>
      </c>
      <c r="M28" t="str">
        <f>"2.207"</f>
        <v>2.207</v>
      </c>
      <c r="N28" t="str">
        <f>"0.5000"</f>
        <v>0.5000</v>
      </c>
      <c r="O28" t="str">
        <f>" "</f>
        <v xml:space="preserve"> </v>
      </c>
      <c r="P28">
        <v>0</v>
      </c>
      <c r="Q28" t="str">
        <f>"100"</f>
        <v>100</v>
      </c>
    </row>
    <row r="29" spans="1:17" x14ac:dyDescent="0.2">
      <c r="A29" t="str">
        <f>"Standard"</f>
        <v>Standard</v>
      </c>
      <c r="B29" t="str">
        <f>"TN"</f>
        <v>TN</v>
      </c>
      <c r="C29" t="str">
        <f>"N_cal_25ppm_acid_laurel"</f>
        <v>N_cal_25ppm_acid_laurel</v>
      </c>
      <c r="D29" t="str">
        <f>"N_cal_25ppm_acid_laurel"</f>
        <v>N_cal_25ppm_acid_laurel</v>
      </c>
      <c r="E29" t="str">
        <f>"C:\TOC3201\CalCurves\Itamar\N_cal_25ppm_acid_laurel.2019_08_21_15_23_49.cal"</f>
        <v>C:\TOC3201\CalCurves\Itamar\N_cal_25ppm_acid_laurel.2019_08_21_15_23_49.cal</v>
      </c>
      <c r="F29" t="str">
        <f>""</f>
        <v/>
      </c>
      <c r="G29">
        <v>1</v>
      </c>
      <c r="H29" t="str">
        <f>""</f>
        <v/>
      </c>
      <c r="I29" t="str">
        <f>"8/21/2019 3:39:29 PM"</f>
        <v>8/21/2019 3:39:29 PM</v>
      </c>
      <c r="J29" t="str">
        <f>"1"</f>
        <v>1</v>
      </c>
      <c r="K29" t="str">
        <f>"3"</f>
        <v>3</v>
      </c>
      <c r="L29" t="str">
        <f>"TN"</f>
        <v>TN</v>
      </c>
      <c r="M29" t="str">
        <f>"2.222"</f>
        <v>2.222</v>
      </c>
      <c r="N29" t="str">
        <f>"0.5000"</f>
        <v>0.5000</v>
      </c>
      <c r="O29" t="str">
        <f>" "</f>
        <v xml:space="preserve"> </v>
      </c>
      <c r="P29">
        <v>0</v>
      </c>
      <c r="Q29" t="str">
        <f>"100"</f>
        <v>100</v>
      </c>
    </row>
    <row r="30" spans="1:17" x14ac:dyDescent="0.2">
      <c r="A30" t="str">
        <f>"Standard"</f>
        <v>Standard</v>
      </c>
      <c r="B30" t="str">
        <f>"TN"</f>
        <v>TN</v>
      </c>
      <c r="C30" t="str">
        <f>"N_cal_25ppm_acid_laurel"</f>
        <v>N_cal_25ppm_acid_laurel</v>
      </c>
      <c r="D30" t="str">
        <f>"N_cal_25ppm_acid_laurel"</f>
        <v>N_cal_25ppm_acid_laurel</v>
      </c>
      <c r="E30" t="str">
        <f>"C:\TOC3201\CalCurves\Itamar\N_cal_25ppm_acid_laurel.2019_08_21_15_23_49.cal"</f>
        <v>C:\TOC3201\CalCurves\Itamar\N_cal_25ppm_acid_laurel.2019_08_21_15_23_49.cal</v>
      </c>
      <c r="F30" t="str">
        <f>""</f>
        <v/>
      </c>
      <c r="G30">
        <v>1</v>
      </c>
      <c r="H30" t="str">
        <f>""</f>
        <v/>
      </c>
      <c r="I30" t="str">
        <f>"8/21/2019 3:42:59 PM"</f>
        <v>8/21/2019 3:42:59 PM</v>
      </c>
      <c r="J30" t="str">
        <f>"1"</f>
        <v>1</v>
      </c>
      <c r="K30" t="str">
        <f>"4"</f>
        <v>4</v>
      </c>
      <c r="L30" t="str">
        <f>"TN"</f>
        <v>TN</v>
      </c>
      <c r="M30" t="str">
        <f>"2.346"</f>
        <v>2.346</v>
      </c>
      <c r="N30" t="str">
        <f>"0.5000"</f>
        <v>0.5000</v>
      </c>
      <c r="O30" t="str">
        <f>" "</f>
        <v xml:space="preserve"> </v>
      </c>
      <c r="P30">
        <v>0</v>
      </c>
      <c r="Q30" t="str">
        <f>"100"</f>
        <v>100</v>
      </c>
    </row>
    <row r="31" spans="1:17" x14ac:dyDescent="0.2">
      <c r="A31" t="str">
        <f>"Standard"</f>
        <v>Standard</v>
      </c>
      <c r="B31" t="str">
        <f>"TN"</f>
        <v>TN</v>
      </c>
      <c r="C31" t="str">
        <f>"N_cal_25ppm_acid_laurel"</f>
        <v>N_cal_25ppm_acid_laurel</v>
      </c>
      <c r="D31" t="str">
        <f>"N_cal_25ppm_acid_laurel"</f>
        <v>N_cal_25ppm_acid_laurel</v>
      </c>
      <c r="E31" t="str">
        <f>"C:\TOC3201\CalCurves\Itamar\N_cal_25ppm_acid_laurel.2019_08_21_15_23_49.cal"</f>
        <v>C:\TOC3201\CalCurves\Itamar\N_cal_25ppm_acid_laurel.2019_08_21_15_23_49.cal</v>
      </c>
      <c r="F31" t="str">
        <f>""</f>
        <v/>
      </c>
      <c r="G31">
        <v>1</v>
      </c>
      <c r="H31" t="str">
        <f>""</f>
        <v/>
      </c>
      <c r="I31" t="str">
        <f>"8/21/2019 3:51:35 PM"</f>
        <v>8/21/2019 3:51:35 PM</v>
      </c>
      <c r="J31" t="str">
        <f>"2"</f>
        <v>2</v>
      </c>
      <c r="K31" t="str">
        <f>"1"</f>
        <v>1</v>
      </c>
      <c r="L31" t="str">
        <f>"TN"</f>
        <v>TN</v>
      </c>
      <c r="M31" t="str">
        <f>"5.847"</f>
        <v>5.847</v>
      </c>
      <c r="N31" t="str">
        <f>"1.000"</f>
        <v>1.000</v>
      </c>
      <c r="O31" t="str">
        <f>" "</f>
        <v xml:space="preserve"> </v>
      </c>
      <c r="P31">
        <v>1</v>
      </c>
      <c r="Q31" t="str">
        <f>"100"</f>
        <v>100</v>
      </c>
    </row>
    <row r="32" spans="1:17" x14ac:dyDescent="0.2">
      <c r="A32" t="str">
        <f>"Standard"</f>
        <v>Standard</v>
      </c>
      <c r="B32" t="str">
        <f>"TN"</f>
        <v>TN</v>
      </c>
      <c r="C32" t="str">
        <f>"N_cal_25ppm_acid_laurel"</f>
        <v>N_cal_25ppm_acid_laurel</v>
      </c>
      <c r="D32" t="str">
        <f>"N_cal_25ppm_acid_laurel"</f>
        <v>N_cal_25ppm_acid_laurel</v>
      </c>
      <c r="E32" t="str">
        <f>"C:\TOC3201\CalCurves\Itamar\N_cal_25ppm_acid_laurel.2019_08_21_15_23_49.cal"</f>
        <v>C:\TOC3201\CalCurves\Itamar\N_cal_25ppm_acid_laurel.2019_08_21_15_23_49.cal</v>
      </c>
      <c r="F32" t="str">
        <f>""</f>
        <v/>
      </c>
      <c r="G32">
        <v>1</v>
      </c>
      <c r="H32" t="str">
        <f>""</f>
        <v/>
      </c>
      <c r="I32" t="str">
        <f>"8/21/2019 3:55:02 PM"</f>
        <v>8/21/2019 3:55:02 PM</v>
      </c>
      <c r="J32" t="str">
        <f>"2"</f>
        <v>2</v>
      </c>
      <c r="K32" t="str">
        <f>"2"</f>
        <v>2</v>
      </c>
      <c r="L32" t="str">
        <f>"TN"</f>
        <v>TN</v>
      </c>
      <c r="M32" t="str">
        <f>"4.369"</f>
        <v>4.369</v>
      </c>
      <c r="N32" t="str">
        <f>"1.000"</f>
        <v>1.000</v>
      </c>
      <c r="O32" t="str">
        <f>" "</f>
        <v xml:space="preserve"> </v>
      </c>
      <c r="P32">
        <v>0</v>
      </c>
      <c r="Q32" t="str">
        <f>"100"</f>
        <v>100</v>
      </c>
    </row>
    <row r="33" spans="1:17" x14ac:dyDescent="0.2">
      <c r="A33" t="str">
        <f>"Standard"</f>
        <v>Standard</v>
      </c>
      <c r="B33" t="str">
        <f>"TN"</f>
        <v>TN</v>
      </c>
      <c r="C33" t="str">
        <f>"N_cal_25ppm_acid_laurel"</f>
        <v>N_cal_25ppm_acid_laurel</v>
      </c>
      <c r="D33" t="str">
        <f>"N_cal_25ppm_acid_laurel"</f>
        <v>N_cal_25ppm_acid_laurel</v>
      </c>
      <c r="E33" t="str">
        <f>"C:\TOC3201\CalCurves\Itamar\N_cal_25ppm_acid_laurel.2019_08_21_15_23_49.cal"</f>
        <v>C:\TOC3201\CalCurves\Itamar\N_cal_25ppm_acid_laurel.2019_08_21_15_23_49.cal</v>
      </c>
      <c r="F33" t="str">
        <f>""</f>
        <v/>
      </c>
      <c r="G33">
        <v>1</v>
      </c>
      <c r="H33" t="str">
        <f>""</f>
        <v/>
      </c>
      <c r="I33" t="str">
        <f>"8/21/2019 3:58:24 PM"</f>
        <v>8/21/2019 3:58:24 PM</v>
      </c>
      <c r="J33" t="str">
        <f>"2"</f>
        <v>2</v>
      </c>
      <c r="K33" t="str">
        <f>"3"</f>
        <v>3</v>
      </c>
      <c r="L33" t="str">
        <f>"TN"</f>
        <v>TN</v>
      </c>
      <c r="M33" t="str">
        <f>"4.463"</f>
        <v>4.463</v>
      </c>
      <c r="N33" t="str">
        <f>"1.000"</f>
        <v>1.000</v>
      </c>
      <c r="O33" t="str">
        <f>" "</f>
        <v xml:space="preserve"> </v>
      </c>
      <c r="P33">
        <v>1</v>
      </c>
      <c r="Q33" t="str">
        <f>"100"</f>
        <v>100</v>
      </c>
    </row>
    <row r="34" spans="1:17" x14ac:dyDescent="0.2">
      <c r="A34" t="str">
        <f>"Standard"</f>
        <v>Standard</v>
      </c>
      <c r="B34" t="str">
        <f>"TN"</f>
        <v>TN</v>
      </c>
      <c r="C34" t="str">
        <f>"N_cal_25ppm_acid_laurel"</f>
        <v>N_cal_25ppm_acid_laurel</v>
      </c>
      <c r="D34" t="str">
        <f>"N_cal_25ppm_acid_laurel"</f>
        <v>N_cal_25ppm_acid_laurel</v>
      </c>
      <c r="E34" t="str">
        <f>"C:\TOC3201\CalCurves\Itamar\N_cal_25ppm_acid_laurel.2019_08_21_15_23_49.cal"</f>
        <v>C:\TOC3201\CalCurves\Itamar\N_cal_25ppm_acid_laurel.2019_08_21_15_23_49.cal</v>
      </c>
      <c r="F34" t="str">
        <f>""</f>
        <v/>
      </c>
      <c r="G34">
        <v>1</v>
      </c>
      <c r="H34" t="str">
        <f>""</f>
        <v/>
      </c>
      <c r="I34" t="str">
        <f>"8/21/2019 4:01:51 PM"</f>
        <v>8/21/2019 4:01:51 PM</v>
      </c>
      <c r="J34" t="str">
        <f>"2"</f>
        <v>2</v>
      </c>
      <c r="K34" t="str">
        <f>"4"</f>
        <v>4</v>
      </c>
      <c r="L34" t="str">
        <f>"TN"</f>
        <v>TN</v>
      </c>
      <c r="M34" t="str">
        <f>"3.933"</f>
        <v>3.933</v>
      </c>
      <c r="N34" t="str">
        <f>"1.000"</f>
        <v>1.000</v>
      </c>
      <c r="O34" t="str">
        <f>" "</f>
        <v xml:space="preserve"> </v>
      </c>
      <c r="P34">
        <v>0</v>
      </c>
      <c r="Q34" t="str">
        <f>"100"</f>
        <v>100</v>
      </c>
    </row>
    <row r="35" spans="1:17" x14ac:dyDescent="0.2">
      <c r="A35" t="str">
        <f>"Standard"</f>
        <v>Standard</v>
      </c>
      <c r="B35" t="str">
        <f>"TN"</f>
        <v>TN</v>
      </c>
      <c r="C35" t="str">
        <f>"N_cal_25ppm_acid_laurel"</f>
        <v>N_cal_25ppm_acid_laurel</v>
      </c>
      <c r="D35" t="str">
        <f>"N_cal_25ppm_acid_laurel"</f>
        <v>N_cal_25ppm_acid_laurel</v>
      </c>
      <c r="E35" t="str">
        <f>"C:\TOC3201\CalCurves\Itamar\N_cal_25ppm_acid_laurel.2019_08_21_15_23_49.cal"</f>
        <v>C:\TOC3201\CalCurves\Itamar\N_cal_25ppm_acid_laurel.2019_08_21_15_23_49.cal</v>
      </c>
      <c r="F35" t="str">
        <f>""</f>
        <v/>
      </c>
      <c r="G35">
        <v>1</v>
      </c>
      <c r="H35" t="str">
        <f>""</f>
        <v/>
      </c>
      <c r="I35" t="str">
        <f>"8/21/2019 4:05:15 PM"</f>
        <v>8/21/2019 4:05:15 PM</v>
      </c>
      <c r="J35" t="str">
        <f>"2"</f>
        <v>2</v>
      </c>
      <c r="K35" t="str">
        <f>"5"</f>
        <v>5</v>
      </c>
      <c r="L35" t="str">
        <f>"TN"</f>
        <v>TN</v>
      </c>
      <c r="M35" t="str">
        <f>"4.020"</f>
        <v>4.020</v>
      </c>
      <c r="N35" t="str">
        <f>"1.000"</f>
        <v>1.000</v>
      </c>
      <c r="O35" t="str">
        <f>" "</f>
        <v xml:space="preserve"> </v>
      </c>
      <c r="P35">
        <v>0</v>
      </c>
      <c r="Q35" t="str">
        <f>"100"</f>
        <v>100</v>
      </c>
    </row>
    <row r="36" spans="1:17" x14ac:dyDescent="0.2">
      <c r="A36" t="str">
        <f>"Standard"</f>
        <v>Standard</v>
      </c>
      <c r="B36" t="str">
        <f>"TN"</f>
        <v>TN</v>
      </c>
      <c r="C36" t="str">
        <f>"N_cal_25ppm_acid_laurel"</f>
        <v>N_cal_25ppm_acid_laurel</v>
      </c>
      <c r="D36" t="str">
        <f>"N_cal_25ppm_acid_laurel"</f>
        <v>N_cal_25ppm_acid_laurel</v>
      </c>
      <c r="E36" t="str">
        <f>"C:\TOC3201\CalCurves\Itamar\N_cal_25ppm_acid_laurel.2019_08_21_15_23_49.cal"</f>
        <v>C:\TOC3201\CalCurves\Itamar\N_cal_25ppm_acid_laurel.2019_08_21_15_23_49.cal</v>
      </c>
      <c r="F36" t="str">
        <f>""</f>
        <v/>
      </c>
      <c r="G36">
        <v>1</v>
      </c>
      <c r="H36" t="str">
        <f>""</f>
        <v/>
      </c>
      <c r="I36" t="str">
        <f>"8/21/2019 4:12:34 PM"</f>
        <v>8/21/2019 4:12:34 PM</v>
      </c>
      <c r="J36" t="str">
        <f>"3"</f>
        <v>3</v>
      </c>
      <c r="K36" t="str">
        <f>"1"</f>
        <v>1</v>
      </c>
      <c r="L36" t="str">
        <f>"TN"</f>
        <v>TN</v>
      </c>
      <c r="M36" t="str">
        <f>"6.789"</f>
        <v>6.789</v>
      </c>
      <c r="N36" t="str">
        <f>"1.667"</f>
        <v>1.667</v>
      </c>
      <c r="O36" t="str">
        <f>" "</f>
        <v xml:space="preserve"> </v>
      </c>
      <c r="P36">
        <v>0</v>
      </c>
      <c r="Q36" t="str">
        <f>"100"</f>
        <v>100</v>
      </c>
    </row>
    <row r="37" spans="1:17" x14ac:dyDescent="0.2">
      <c r="A37" t="str">
        <f>"Standard"</f>
        <v>Standard</v>
      </c>
      <c r="B37" t="str">
        <f>"TN"</f>
        <v>TN</v>
      </c>
      <c r="C37" t="str">
        <f>"N_cal_25ppm_acid_laurel"</f>
        <v>N_cal_25ppm_acid_laurel</v>
      </c>
      <c r="D37" t="str">
        <f>"N_cal_25ppm_acid_laurel"</f>
        <v>N_cal_25ppm_acid_laurel</v>
      </c>
      <c r="E37" t="str">
        <f>"C:\TOC3201\CalCurves\Itamar\N_cal_25ppm_acid_laurel.2019_08_21_15_23_49.cal"</f>
        <v>C:\TOC3201\CalCurves\Itamar\N_cal_25ppm_acid_laurel.2019_08_21_15_23_49.cal</v>
      </c>
      <c r="F37" t="str">
        <f>""</f>
        <v/>
      </c>
      <c r="G37">
        <v>1</v>
      </c>
      <c r="H37" t="str">
        <f>""</f>
        <v/>
      </c>
      <c r="I37" t="str">
        <f>"8/21/2019 4:16:26 PM"</f>
        <v>8/21/2019 4:16:26 PM</v>
      </c>
      <c r="J37" t="str">
        <f>"3"</f>
        <v>3</v>
      </c>
      <c r="K37" t="str">
        <f>"2"</f>
        <v>2</v>
      </c>
      <c r="L37" t="str">
        <f>"TN"</f>
        <v>TN</v>
      </c>
      <c r="M37" t="str">
        <f>"7.366"</f>
        <v>7.366</v>
      </c>
      <c r="N37" t="str">
        <f>"1.667"</f>
        <v>1.667</v>
      </c>
      <c r="O37" t="str">
        <f>" "</f>
        <v xml:space="preserve"> </v>
      </c>
      <c r="P37">
        <v>0</v>
      </c>
      <c r="Q37" t="str">
        <f>"100"</f>
        <v>100</v>
      </c>
    </row>
    <row r="38" spans="1:17" x14ac:dyDescent="0.2">
      <c r="A38" t="str">
        <f>"Standard"</f>
        <v>Standard</v>
      </c>
      <c r="B38" t="str">
        <f>"TN"</f>
        <v>TN</v>
      </c>
      <c r="C38" t="str">
        <f>"N_cal_25ppm_acid_laurel"</f>
        <v>N_cal_25ppm_acid_laurel</v>
      </c>
      <c r="D38" t="str">
        <f>"N_cal_25ppm_acid_laurel"</f>
        <v>N_cal_25ppm_acid_laurel</v>
      </c>
      <c r="E38" t="str">
        <f>"C:\TOC3201\CalCurves\Itamar\N_cal_25ppm_acid_laurel.2019_08_21_15_23_49.cal"</f>
        <v>C:\TOC3201\CalCurves\Itamar\N_cal_25ppm_acid_laurel.2019_08_21_15_23_49.cal</v>
      </c>
      <c r="F38" t="str">
        <f>""</f>
        <v/>
      </c>
      <c r="G38">
        <v>1</v>
      </c>
      <c r="H38" t="str">
        <f>""</f>
        <v/>
      </c>
      <c r="I38" t="str">
        <f>"8/21/2019 4:21:25 PM"</f>
        <v>8/21/2019 4:21:25 PM</v>
      </c>
      <c r="J38" t="str">
        <f>"3"</f>
        <v>3</v>
      </c>
      <c r="K38" t="str">
        <f>"3"</f>
        <v>3</v>
      </c>
      <c r="L38" t="str">
        <f>"TN"</f>
        <v>TN</v>
      </c>
      <c r="M38" t="str">
        <f>"8.282"</f>
        <v>8.282</v>
      </c>
      <c r="N38" t="str">
        <f>"1.667"</f>
        <v>1.667</v>
      </c>
      <c r="O38" t="str">
        <f>" "</f>
        <v xml:space="preserve"> </v>
      </c>
      <c r="P38">
        <v>1</v>
      </c>
      <c r="Q38" t="str">
        <f>"100"</f>
        <v>100</v>
      </c>
    </row>
    <row r="39" spans="1:17" x14ac:dyDescent="0.2">
      <c r="A39" t="str">
        <f>"Standard"</f>
        <v>Standard</v>
      </c>
      <c r="B39" t="str">
        <f>"TN"</f>
        <v>TN</v>
      </c>
      <c r="C39" t="str">
        <f>"N_cal_25ppm_acid_laurel"</f>
        <v>N_cal_25ppm_acid_laurel</v>
      </c>
      <c r="D39" t="str">
        <f>"N_cal_25ppm_acid_laurel"</f>
        <v>N_cal_25ppm_acid_laurel</v>
      </c>
      <c r="E39" t="str">
        <f>"C:\TOC3201\CalCurves\Itamar\N_cal_25ppm_acid_laurel.2019_08_21_15_23_49.cal"</f>
        <v>C:\TOC3201\CalCurves\Itamar\N_cal_25ppm_acid_laurel.2019_08_21_15_23_49.cal</v>
      </c>
      <c r="F39" t="str">
        <f>""</f>
        <v/>
      </c>
      <c r="G39">
        <v>1</v>
      </c>
      <c r="H39" t="str">
        <f>""</f>
        <v/>
      </c>
      <c r="I39" t="str">
        <f>"8/21/2019 4:25:08 PM"</f>
        <v>8/21/2019 4:25:08 PM</v>
      </c>
      <c r="J39" t="str">
        <f>"3"</f>
        <v>3</v>
      </c>
      <c r="K39" t="str">
        <f>"4"</f>
        <v>4</v>
      </c>
      <c r="L39" t="str">
        <f>"TN"</f>
        <v>TN</v>
      </c>
      <c r="M39" t="str">
        <f>"8.351"</f>
        <v>8.351</v>
      </c>
      <c r="N39" t="str">
        <f>"1.667"</f>
        <v>1.667</v>
      </c>
      <c r="O39" t="str">
        <f>" "</f>
        <v xml:space="preserve"> </v>
      </c>
      <c r="P39">
        <v>1</v>
      </c>
      <c r="Q39" t="str">
        <f>"100"</f>
        <v>100</v>
      </c>
    </row>
    <row r="40" spans="1:17" x14ac:dyDescent="0.2">
      <c r="A40" t="str">
        <f>"Standard"</f>
        <v>Standard</v>
      </c>
      <c r="B40" t="str">
        <f>"TN"</f>
        <v>TN</v>
      </c>
      <c r="C40" t="str">
        <f>"N_cal_25ppm_acid_laurel"</f>
        <v>N_cal_25ppm_acid_laurel</v>
      </c>
      <c r="D40" t="str">
        <f>"N_cal_25ppm_acid_laurel"</f>
        <v>N_cal_25ppm_acid_laurel</v>
      </c>
      <c r="E40" t="str">
        <f>"C:\TOC3201\CalCurves\Itamar\N_cal_25ppm_acid_laurel.2019_08_21_15_23_49.cal"</f>
        <v>C:\TOC3201\CalCurves\Itamar\N_cal_25ppm_acid_laurel.2019_08_21_15_23_49.cal</v>
      </c>
      <c r="F40" t="str">
        <f>""</f>
        <v/>
      </c>
      <c r="G40">
        <v>1</v>
      </c>
      <c r="H40" t="str">
        <f>""</f>
        <v/>
      </c>
      <c r="I40" t="str">
        <f>"8/21/2019 4:28:44 PM"</f>
        <v>8/21/2019 4:28:44 PM</v>
      </c>
      <c r="J40" t="str">
        <f>"3"</f>
        <v>3</v>
      </c>
      <c r="K40" t="str">
        <f>"5"</f>
        <v>5</v>
      </c>
      <c r="L40" t="str">
        <f>"TN"</f>
        <v>TN</v>
      </c>
      <c r="M40" t="str">
        <f>"7.460"</f>
        <v>7.460</v>
      </c>
      <c r="N40" t="str">
        <f>"1.667"</f>
        <v>1.667</v>
      </c>
      <c r="O40" t="str">
        <f>" "</f>
        <v xml:space="preserve"> </v>
      </c>
      <c r="P40">
        <v>0</v>
      </c>
      <c r="Q40" t="str">
        <f>"100"</f>
        <v>100</v>
      </c>
    </row>
    <row r="41" spans="1:17" x14ac:dyDescent="0.2">
      <c r="A41" t="str">
        <f>"Standard"</f>
        <v>Standard</v>
      </c>
      <c r="B41" t="str">
        <f>"TN"</f>
        <v>TN</v>
      </c>
      <c r="C41" t="str">
        <f>"N_cal_25ppm_acid_laurel"</f>
        <v>N_cal_25ppm_acid_laurel</v>
      </c>
      <c r="D41" t="str">
        <f>"N_cal_25ppm_acid_laurel"</f>
        <v>N_cal_25ppm_acid_laurel</v>
      </c>
      <c r="E41" t="str">
        <f>"C:\TOC3201\CalCurves\Itamar\N_cal_25ppm_acid_laurel.2019_08_21_15_23_49.cal"</f>
        <v>C:\TOC3201\CalCurves\Itamar\N_cal_25ppm_acid_laurel.2019_08_21_15_23_49.cal</v>
      </c>
      <c r="F41" t="str">
        <f>""</f>
        <v/>
      </c>
      <c r="G41">
        <v>1</v>
      </c>
      <c r="H41" t="str">
        <f>""</f>
        <v/>
      </c>
      <c r="I41" t="str">
        <f>"8/21/2019 4:36:52 PM"</f>
        <v>8/21/2019 4:36:52 PM</v>
      </c>
      <c r="J41" t="str">
        <f>"4"</f>
        <v>4</v>
      </c>
      <c r="K41" t="str">
        <f>"1"</f>
        <v>1</v>
      </c>
      <c r="L41" t="str">
        <f>"TN"</f>
        <v>TN</v>
      </c>
      <c r="M41" t="str">
        <f>"21.50"</f>
        <v>21.50</v>
      </c>
      <c r="N41" t="str">
        <f>"5.000"</f>
        <v>5.000</v>
      </c>
      <c r="O41" t="str">
        <f>" "</f>
        <v xml:space="preserve"> </v>
      </c>
      <c r="P41">
        <v>0</v>
      </c>
      <c r="Q41" t="str">
        <f>"100"</f>
        <v>100</v>
      </c>
    </row>
    <row r="42" spans="1:17" x14ac:dyDescent="0.2">
      <c r="A42" t="str">
        <f>"Standard"</f>
        <v>Standard</v>
      </c>
      <c r="B42" t="str">
        <f>"TN"</f>
        <v>TN</v>
      </c>
      <c r="C42" t="str">
        <f>"N_cal_25ppm_acid_laurel"</f>
        <v>N_cal_25ppm_acid_laurel</v>
      </c>
      <c r="D42" t="str">
        <f>"N_cal_25ppm_acid_laurel"</f>
        <v>N_cal_25ppm_acid_laurel</v>
      </c>
      <c r="E42" t="str">
        <f>"C:\TOC3201\CalCurves\Itamar\N_cal_25ppm_acid_laurel.2019_08_21_15_23_49.cal"</f>
        <v>C:\TOC3201\CalCurves\Itamar\N_cal_25ppm_acid_laurel.2019_08_21_15_23_49.cal</v>
      </c>
      <c r="F42" t="str">
        <f>""</f>
        <v/>
      </c>
      <c r="G42">
        <v>1</v>
      </c>
      <c r="H42" t="str">
        <f>""</f>
        <v/>
      </c>
      <c r="I42" t="str">
        <f>"8/21/2019 4:40:34 PM"</f>
        <v>8/21/2019 4:40:34 PM</v>
      </c>
      <c r="J42" t="str">
        <f>"4"</f>
        <v>4</v>
      </c>
      <c r="K42" t="str">
        <f>"2"</f>
        <v>2</v>
      </c>
      <c r="L42" t="str">
        <f>"TN"</f>
        <v>TN</v>
      </c>
      <c r="M42" t="str">
        <f>"21.27"</f>
        <v>21.27</v>
      </c>
      <c r="N42" t="str">
        <f>"5.000"</f>
        <v>5.000</v>
      </c>
      <c r="O42" t="str">
        <f>" "</f>
        <v xml:space="preserve"> </v>
      </c>
      <c r="P42">
        <v>0</v>
      </c>
      <c r="Q42" t="str">
        <f>"100"</f>
        <v>100</v>
      </c>
    </row>
    <row r="43" spans="1:17" x14ac:dyDescent="0.2">
      <c r="A43" t="str">
        <f>"Standard"</f>
        <v>Standard</v>
      </c>
      <c r="B43" t="str">
        <f>"TN"</f>
        <v>TN</v>
      </c>
      <c r="C43" t="str">
        <f>"N_cal_25ppm_acid_laurel"</f>
        <v>N_cal_25ppm_acid_laurel</v>
      </c>
      <c r="D43" t="str">
        <f>"N_cal_25ppm_acid_laurel"</f>
        <v>N_cal_25ppm_acid_laurel</v>
      </c>
      <c r="E43" t="str">
        <f>"C:\TOC3201\CalCurves\Itamar\N_cal_25ppm_acid_laurel.2019_08_21_15_23_49.cal"</f>
        <v>C:\TOC3201\CalCurves\Itamar\N_cal_25ppm_acid_laurel.2019_08_21_15_23_49.cal</v>
      </c>
      <c r="F43" t="str">
        <f>""</f>
        <v/>
      </c>
      <c r="G43">
        <v>1</v>
      </c>
      <c r="H43" t="str">
        <f>""</f>
        <v/>
      </c>
      <c r="I43" t="str">
        <f>"8/21/2019 4:44:27 PM"</f>
        <v>8/21/2019 4:44:27 PM</v>
      </c>
      <c r="J43" t="str">
        <f>"4"</f>
        <v>4</v>
      </c>
      <c r="K43" t="str">
        <f>"3"</f>
        <v>3</v>
      </c>
      <c r="L43" t="str">
        <f>"TN"</f>
        <v>TN</v>
      </c>
      <c r="M43" t="str">
        <f>"21.34"</f>
        <v>21.34</v>
      </c>
      <c r="N43" t="str">
        <f>"5.000"</f>
        <v>5.000</v>
      </c>
      <c r="O43" t="str">
        <f>" "</f>
        <v xml:space="preserve"> </v>
      </c>
      <c r="P43">
        <v>0</v>
      </c>
      <c r="Q43" t="str">
        <f>"100"</f>
        <v>100</v>
      </c>
    </row>
    <row r="44" spans="1:17" x14ac:dyDescent="0.2">
      <c r="A44" t="str">
        <f>"Standard"</f>
        <v>Standard</v>
      </c>
      <c r="B44" t="str">
        <f>"TN"</f>
        <v>TN</v>
      </c>
      <c r="C44" t="str">
        <f>"N_cal_25ppm_acid_laurel"</f>
        <v>N_cal_25ppm_acid_laurel</v>
      </c>
      <c r="D44" t="str">
        <f>"N_cal_25ppm_acid_laurel"</f>
        <v>N_cal_25ppm_acid_laurel</v>
      </c>
      <c r="E44" t="str">
        <f>"C:\TOC3201\CalCurves\Itamar\N_cal_25ppm_acid_laurel.2019_08_21_15_23_49.cal"</f>
        <v>C:\TOC3201\CalCurves\Itamar\N_cal_25ppm_acid_laurel.2019_08_21_15_23_49.cal</v>
      </c>
      <c r="F44" t="str">
        <f>""</f>
        <v/>
      </c>
      <c r="G44">
        <v>1</v>
      </c>
      <c r="H44" t="str">
        <f>""</f>
        <v/>
      </c>
      <c r="I44" t="str">
        <f>"8/21/2019 4:52:21 PM"</f>
        <v>8/21/2019 4:52:21 PM</v>
      </c>
      <c r="J44" t="str">
        <f>"5"</f>
        <v>5</v>
      </c>
      <c r="K44" t="str">
        <f>"1"</f>
        <v>1</v>
      </c>
      <c r="L44" t="str">
        <f>"TN"</f>
        <v>TN</v>
      </c>
      <c r="M44" t="str">
        <f>"53.79"</f>
        <v>53.79</v>
      </c>
      <c r="N44" t="str">
        <f>"12.50"</f>
        <v>12.50</v>
      </c>
      <c r="O44" t="str">
        <f>" "</f>
        <v xml:space="preserve"> </v>
      </c>
      <c r="P44">
        <v>0</v>
      </c>
      <c r="Q44" t="str">
        <f>"100"</f>
        <v>100</v>
      </c>
    </row>
    <row r="45" spans="1:17" x14ac:dyDescent="0.2">
      <c r="A45" t="str">
        <f>"Standard"</f>
        <v>Standard</v>
      </c>
      <c r="B45" t="str">
        <f>"TN"</f>
        <v>TN</v>
      </c>
      <c r="C45" t="str">
        <f>"N_cal_25ppm_acid_laurel"</f>
        <v>N_cal_25ppm_acid_laurel</v>
      </c>
      <c r="D45" t="str">
        <f>"N_cal_25ppm_acid_laurel"</f>
        <v>N_cal_25ppm_acid_laurel</v>
      </c>
      <c r="E45" t="str">
        <f>"C:\TOC3201\CalCurves\Itamar\N_cal_25ppm_acid_laurel.2019_08_21_15_23_49.cal"</f>
        <v>C:\TOC3201\CalCurves\Itamar\N_cal_25ppm_acid_laurel.2019_08_21_15_23_49.cal</v>
      </c>
      <c r="F45" t="str">
        <f>""</f>
        <v/>
      </c>
      <c r="G45">
        <v>1</v>
      </c>
      <c r="H45" t="str">
        <f>""</f>
        <v/>
      </c>
      <c r="I45" t="str">
        <f>"8/21/2019 4:56:07 PM"</f>
        <v>8/21/2019 4:56:07 PM</v>
      </c>
      <c r="J45" t="str">
        <f>"5"</f>
        <v>5</v>
      </c>
      <c r="K45" t="str">
        <f>"2"</f>
        <v>2</v>
      </c>
      <c r="L45" t="str">
        <f>"TN"</f>
        <v>TN</v>
      </c>
      <c r="M45" t="str">
        <f>"55.82"</f>
        <v>55.82</v>
      </c>
      <c r="N45" t="str">
        <f>"12.50"</f>
        <v>12.50</v>
      </c>
      <c r="O45" t="str">
        <f>" "</f>
        <v xml:space="preserve"> </v>
      </c>
      <c r="P45">
        <v>0</v>
      </c>
      <c r="Q45" t="str">
        <f>"100"</f>
        <v>100</v>
      </c>
    </row>
    <row r="46" spans="1:17" x14ac:dyDescent="0.2">
      <c r="A46" t="str">
        <f>"Standard"</f>
        <v>Standard</v>
      </c>
      <c r="B46" t="str">
        <f>"TN"</f>
        <v>TN</v>
      </c>
      <c r="C46" t="str">
        <f>"N_cal_25ppm_acid_laurel"</f>
        <v>N_cal_25ppm_acid_laurel</v>
      </c>
      <c r="D46" t="str">
        <f>"N_cal_25ppm_acid_laurel"</f>
        <v>N_cal_25ppm_acid_laurel</v>
      </c>
      <c r="E46" t="str">
        <f>"C:\TOC3201\CalCurves\Itamar\N_cal_25ppm_acid_laurel.2019_08_21_15_23_49.cal"</f>
        <v>C:\TOC3201\CalCurves\Itamar\N_cal_25ppm_acid_laurel.2019_08_21_15_23_49.cal</v>
      </c>
      <c r="F46" t="str">
        <f>""</f>
        <v/>
      </c>
      <c r="G46">
        <v>1</v>
      </c>
      <c r="H46" t="str">
        <f>""</f>
        <v/>
      </c>
      <c r="I46" t="str">
        <f>"8/21/2019 5:00:12 PM"</f>
        <v>8/21/2019 5:00:12 PM</v>
      </c>
      <c r="J46" t="str">
        <f>"5"</f>
        <v>5</v>
      </c>
      <c r="K46" t="str">
        <f>"3"</f>
        <v>3</v>
      </c>
      <c r="L46" t="str">
        <f>"TN"</f>
        <v>TN</v>
      </c>
      <c r="M46" t="str">
        <f>"55.40"</f>
        <v>55.40</v>
      </c>
      <c r="N46" t="str">
        <f>"12.50"</f>
        <v>12.50</v>
      </c>
      <c r="O46" t="str">
        <f>" "</f>
        <v xml:space="preserve"> </v>
      </c>
      <c r="P46">
        <v>0</v>
      </c>
      <c r="Q46" t="str">
        <f>"100"</f>
        <v>100</v>
      </c>
    </row>
    <row r="47" spans="1:17" x14ac:dyDescent="0.2">
      <c r="A47" t="str">
        <f>"Standard"</f>
        <v>Standard</v>
      </c>
      <c r="B47" t="str">
        <f>"TN"</f>
        <v>TN</v>
      </c>
      <c r="C47" t="str">
        <f>"N_cal_25ppm_acid_laurel"</f>
        <v>N_cal_25ppm_acid_laurel</v>
      </c>
      <c r="D47" t="str">
        <f>"N_cal_25ppm_acid_laurel"</f>
        <v>N_cal_25ppm_acid_laurel</v>
      </c>
      <c r="E47" t="str">
        <f>"C:\TOC3201\CalCurves\Itamar\N_cal_25ppm_acid_laurel.2019_08_21_15_23_49.cal"</f>
        <v>C:\TOC3201\CalCurves\Itamar\N_cal_25ppm_acid_laurel.2019_08_21_15_23_49.cal</v>
      </c>
      <c r="F47" t="str">
        <f>""</f>
        <v/>
      </c>
      <c r="G47">
        <v>1</v>
      </c>
      <c r="H47" t="str">
        <f>""</f>
        <v/>
      </c>
      <c r="I47" t="str">
        <f>"8/21/2019 5:07:36 PM"</f>
        <v>8/21/2019 5:07:36 PM</v>
      </c>
      <c r="J47" t="str">
        <f>"6"</f>
        <v>6</v>
      </c>
      <c r="K47" t="str">
        <f>"1"</f>
        <v>1</v>
      </c>
      <c r="L47" t="str">
        <f>"TN"</f>
        <v>TN</v>
      </c>
      <c r="M47" t="str">
        <f>"112.8"</f>
        <v>112.8</v>
      </c>
      <c r="N47" t="str">
        <f>"25.00"</f>
        <v>25.00</v>
      </c>
      <c r="O47" t="str">
        <f>" "</f>
        <v xml:space="preserve"> </v>
      </c>
      <c r="P47">
        <v>0</v>
      </c>
      <c r="Q47" t="str">
        <f>"100"</f>
        <v>100</v>
      </c>
    </row>
    <row r="48" spans="1:17" x14ac:dyDescent="0.2">
      <c r="A48" t="str">
        <f>"Standard"</f>
        <v>Standard</v>
      </c>
      <c r="B48" t="str">
        <f>"TN"</f>
        <v>TN</v>
      </c>
      <c r="C48" t="str">
        <f>"N_cal_25ppm_acid_laurel"</f>
        <v>N_cal_25ppm_acid_laurel</v>
      </c>
      <c r="D48" t="str">
        <f>"N_cal_25ppm_acid_laurel"</f>
        <v>N_cal_25ppm_acid_laurel</v>
      </c>
      <c r="E48" t="str">
        <f>"C:\TOC3201\CalCurves\Itamar\N_cal_25ppm_acid_laurel.2019_08_21_15_23_49.cal"</f>
        <v>C:\TOC3201\CalCurves\Itamar\N_cal_25ppm_acid_laurel.2019_08_21_15_23_49.cal</v>
      </c>
      <c r="F48" t="str">
        <f>""</f>
        <v/>
      </c>
      <c r="G48">
        <v>1</v>
      </c>
      <c r="H48" t="str">
        <f>""</f>
        <v/>
      </c>
      <c r="I48" t="str">
        <f>"8/21/2019 5:11:46 PM"</f>
        <v>8/21/2019 5:11:46 PM</v>
      </c>
      <c r="J48" t="str">
        <f>"6"</f>
        <v>6</v>
      </c>
      <c r="K48" t="str">
        <f>"2"</f>
        <v>2</v>
      </c>
      <c r="L48" t="str">
        <f>"TN"</f>
        <v>TN</v>
      </c>
      <c r="M48" t="str">
        <f>"114.3"</f>
        <v>114.3</v>
      </c>
      <c r="N48" t="str">
        <f>"25.00"</f>
        <v>25.00</v>
      </c>
      <c r="O48" t="str">
        <f>" "</f>
        <v xml:space="preserve"> </v>
      </c>
      <c r="P48">
        <v>0</v>
      </c>
      <c r="Q48" t="str">
        <f>"100"</f>
        <v>100</v>
      </c>
    </row>
    <row r="49" spans="1:17" x14ac:dyDescent="0.2">
      <c r="A49" t="str">
        <f>"Standard"</f>
        <v>Standard</v>
      </c>
      <c r="B49" t="str">
        <f>"TN"</f>
        <v>TN</v>
      </c>
      <c r="C49" t="str">
        <f>"N_cal_25ppm_acid_laurel"</f>
        <v>N_cal_25ppm_acid_laurel</v>
      </c>
      <c r="D49" t="str">
        <f>"N_cal_25ppm_acid_laurel"</f>
        <v>N_cal_25ppm_acid_laurel</v>
      </c>
      <c r="E49" t="str">
        <f>"C:\TOC3201\CalCurves\Itamar\N_cal_25ppm_acid_laurel.2019_08_21_15_23_49.cal"</f>
        <v>C:\TOC3201\CalCurves\Itamar\N_cal_25ppm_acid_laurel.2019_08_21_15_23_49.cal</v>
      </c>
      <c r="F49" t="str">
        <f>""</f>
        <v/>
      </c>
      <c r="G49">
        <v>1</v>
      </c>
      <c r="H49" t="str">
        <f>""</f>
        <v/>
      </c>
      <c r="I49" t="str">
        <f>"8/21/2019 5:15:41 PM"</f>
        <v>8/21/2019 5:15:41 PM</v>
      </c>
      <c r="J49" t="str">
        <f>"6"</f>
        <v>6</v>
      </c>
      <c r="K49" t="str">
        <f>"3"</f>
        <v>3</v>
      </c>
      <c r="L49" t="str">
        <f>"TN"</f>
        <v>TN</v>
      </c>
      <c r="M49" t="str">
        <f>"107.4"</f>
        <v>107.4</v>
      </c>
      <c r="N49" t="str">
        <f>"25.00"</f>
        <v>25.00</v>
      </c>
      <c r="O49" t="str">
        <f>" "</f>
        <v xml:space="preserve"> </v>
      </c>
      <c r="P49">
        <v>1</v>
      </c>
      <c r="Q49" t="str">
        <f>"100"</f>
        <v>100</v>
      </c>
    </row>
    <row r="50" spans="1:17" x14ac:dyDescent="0.2">
      <c r="A50" t="str">
        <f>"Standard"</f>
        <v>Standard</v>
      </c>
      <c r="B50" t="str">
        <f>"TN"</f>
        <v>TN</v>
      </c>
      <c r="C50" t="str">
        <f>"N_cal_25ppm_acid_laurel"</f>
        <v>N_cal_25ppm_acid_laurel</v>
      </c>
      <c r="D50" t="str">
        <f>"N_cal_25ppm_acid_laurel"</f>
        <v>N_cal_25ppm_acid_laurel</v>
      </c>
      <c r="E50" t="str">
        <f>"C:\TOC3201\CalCurves\Itamar\N_cal_25ppm_acid_laurel.2019_08_21_15_23_49.cal"</f>
        <v>C:\TOC3201\CalCurves\Itamar\N_cal_25ppm_acid_laurel.2019_08_21_15_23_49.cal</v>
      </c>
      <c r="F50" t="str">
        <f>""</f>
        <v/>
      </c>
      <c r="G50">
        <v>1</v>
      </c>
      <c r="H50" t="str">
        <f>""</f>
        <v/>
      </c>
      <c r="I50" t="str">
        <f>"8/21/2019 5:19:57 PM"</f>
        <v>8/21/2019 5:19:57 PM</v>
      </c>
      <c r="J50" t="str">
        <f>"6"</f>
        <v>6</v>
      </c>
      <c r="K50" t="str">
        <f>"4"</f>
        <v>4</v>
      </c>
      <c r="L50" t="str">
        <f>"TN"</f>
        <v>TN</v>
      </c>
      <c r="M50" t="str">
        <f>"114.8"</f>
        <v>114.8</v>
      </c>
      <c r="N50" t="str">
        <f>"25.00"</f>
        <v>25.00</v>
      </c>
      <c r="O50" t="str">
        <f>" "</f>
        <v xml:space="preserve"> </v>
      </c>
      <c r="P50">
        <v>0</v>
      </c>
      <c r="Q50" t="str">
        <f>"100"</f>
        <v>100</v>
      </c>
    </row>
    <row r="51" spans="1:17" x14ac:dyDescent="0.2">
      <c r="A51" t="str">
        <f>"Unknown"</f>
        <v>Unknown</v>
      </c>
      <c r="B51" t="str">
        <f>"NPOC/TN"</f>
        <v>NPOC/TN</v>
      </c>
      <c r="C51" t="str">
        <f>"DI"</f>
        <v>DI</v>
      </c>
      <c r="D51" t="str">
        <f>"DI"</f>
        <v>DI</v>
      </c>
      <c r="E51" t="str">
        <f>"C:\TOC3201\Methods\Itamar\acid_sample.met"</f>
        <v>C:\TOC3201\Methods\Itamar\acid_sample.met</v>
      </c>
      <c r="F51" t="str">
        <f>"C:\TOC3201\CalCurves\Itamar\C_cal_100ppm_acid_laurel.2019_08_21_13_17_46.cal"</f>
        <v>C:\TOC3201\CalCurves\Itamar\C_cal_100ppm_acid_laurel.2019_08_21_13_17_46.cal</v>
      </c>
      <c r="G51">
        <v>1</v>
      </c>
      <c r="H51" t="str">
        <f>""</f>
        <v/>
      </c>
      <c r="I51" t="str">
        <f>"8/21/2019 5:28:56 PM"</f>
        <v>8/21/2019 5:28:56 PM</v>
      </c>
      <c r="J51" t="str">
        <f>"1"</f>
        <v>1</v>
      </c>
      <c r="K51" t="str">
        <f>"1"</f>
        <v>1</v>
      </c>
      <c r="L51" t="str">
        <f>"NPOC"</f>
        <v>NPOC</v>
      </c>
      <c r="M51" t="str">
        <f>"0.4288"</f>
        <v>0.4288</v>
      </c>
      <c r="N51" t="str">
        <f>"-0.2372"</f>
        <v>-0.2372</v>
      </c>
      <c r="O51" t="str">
        <f>"NPOC:-0.2381mg/L TN:0.1544mg/L"</f>
        <v>NPOC:-0.2381mg/L TN:0.1544mg/L</v>
      </c>
      <c r="P51">
        <v>0</v>
      </c>
      <c r="Q51" t="str">
        <f>"80"</f>
        <v>80</v>
      </c>
    </row>
    <row r="52" spans="1:17" x14ac:dyDescent="0.2">
      <c r="A52" t="str">
        <f>"Unknown"</f>
        <v>Unknown</v>
      </c>
      <c r="B52" t="str">
        <f>"NPOC/TN"</f>
        <v>NPOC/TN</v>
      </c>
      <c r="C52" t="str">
        <f>"DI"</f>
        <v>DI</v>
      </c>
      <c r="D52" t="str">
        <f>"DI"</f>
        <v>DI</v>
      </c>
      <c r="E52" t="str">
        <f>"C:\TOC3201\Methods\Itamar\acid_sample.met"</f>
        <v>C:\TOC3201\Methods\Itamar\acid_sample.met</v>
      </c>
      <c r="F52" t="str">
        <f>"C:\TOC3201\CalCurves\Itamar\C_cal_100ppm_acid_laurel.2019_08_21_13_17_46.cal"</f>
        <v>C:\TOC3201\CalCurves\Itamar\C_cal_100ppm_acid_laurel.2019_08_21_13_17_46.cal</v>
      </c>
      <c r="G52">
        <v>1</v>
      </c>
      <c r="H52" t="str">
        <f>""</f>
        <v/>
      </c>
      <c r="I52" t="str">
        <f>"8/21/2019 5:31:22 PM"</f>
        <v>8/21/2019 5:31:22 PM</v>
      </c>
      <c r="J52" t="str">
        <f>"1"</f>
        <v>1</v>
      </c>
      <c r="K52" t="str">
        <f>"2"</f>
        <v>2</v>
      </c>
      <c r="L52" t="str">
        <f>"NPOC"</f>
        <v>NPOC</v>
      </c>
      <c r="M52" t="str">
        <f>"0.3920"</f>
        <v>0.3920</v>
      </c>
      <c r="N52" t="str">
        <f>"-0.2448"</f>
        <v>-0.2448</v>
      </c>
      <c r="O52" t="str">
        <f>"NPOC:-0.2381mg/L TN:0.1544mg/L"</f>
        <v>NPOC:-0.2381mg/L TN:0.1544mg/L</v>
      </c>
      <c r="P52">
        <v>0</v>
      </c>
      <c r="Q52" t="str">
        <f>"80"</f>
        <v>80</v>
      </c>
    </row>
    <row r="53" spans="1:17" x14ac:dyDescent="0.2">
      <c r="A53" t="str">
        <f>"Unknown"</f>
        <v>Unknown</v>
      </c>
      <c r="B53" t="str">
        <f>"NPOC/TN"</f>
        <v>NPOC/TN</v>
      </c>
      <c r="C53" t="str">
        <f>"DI"</f>
        <v>DI</v>
      </c>
      <c r="D53" t="str">
        <f>"DI"</f>
        <v>DI</v>
      </c>
      <c r="E53" t="str">
        <f>"C:\TOC3201\Methods\Itamar\acid_sample.met"</f>
        <v>C:\TOC3201\Methods\Itamar\acid_sample.met</v>
      </c>
      <c r="F53" t="str">
        <f>"C:\TOC3201\CalCurves\Itamar\C_cal_100ppm_acid_laurel.2019_08_21_13_17_46.cal"</f>
        <v>C:\TOC3201\CalCurves\Itamar\C_cal_100ppm_acid_laurel.2019_08_21_13_17_46.cal</v>
      </c>
      <c r="G53">
        <v>1</v>
      </c>
      <c r="H53" t="str">
        <f>""</f>
        <v/>
      </c>
      <c r="I53" t="str">
        <f>"8/21/2019 5:33:46 PM"</f>
        <v>8/21/2019 5:33:46 PM</v>
      </c>
      <c r="J53" t="str">
        <f>"1"</f>
        <v>1</v>
      </c>
      <c r="K53" t="str">
        <f>"3"</f>
        <v>3</v>
      </c>
      <c r="L53" t="str">
        <f>"NPOC"</f>
        <v>NPOC</v>
      </c>
      <c r="M53" t="str">
        <f>"0.4535"</f>
        <v>0.4535</v>
      </c>
      <c r="N53" t="str">
        <f>"-0.2322"</f>
        <v>-0.2322</v>
      </c>
      <c r="O53" t="str">
        <f>"NPOC:-0.2381mg/L TN:0.1544mg/L"</f>
        <v>NPOC:-0.2381mg/L TN:0.1544mg/L</v>
      </c>
      <c r="P53">
        <v>0</v>
      </c>
      <c r="Q53" t="str">
        <f>"80"</f>
        <v>80</v>
      </c>
    </row>
    <row r="54" spans="1:17" x14ac:dyDescent="0.2">
      <c r="A54" t="str">
        <f>"Unknown"</f>
        <v>Unknown</v>
      </c>
      <c r="B54" t="str">
        <f>"NPOC/TN"</f>
        <v>NPOC/TN</v>
      </c>
      <c r="C54" t="str">
        <f>"DI"</f>
        <v>DI</v>
      </c>
      <c r="D54" t="str">
        <f>"DI"</f>
        <v>DI</v>
      </c>
      <c r="E54" t="str">
        <f>"C:\TOC3201\Methods\Itamar\acid_sample.met"</f>
        <v>C:\TOC3201\Methods\Itamar\acid_sample.met</v>
      </c>
      <c r="F54" t="str">
        <f>"C:\TOC3201\CalCurves\Itamar\N_cal_25ppm_acid_laurel.2019_08_21_15_23_49.cal"</f>
        <v>C:\TOC3201\CalCurves\Itamar\N_cal_25ppm_acid_laurel.2019_08_21_15_23_49.cal</v>
      </c>
      <c r="G54">
        <v>1</v>
      </c>
      <c r="H54" t="str">
        <f>""</f>
        <v/>
      </c>
      <c r="I54" t="str">
        <f>"8/21/2019 5:28:56 PM"</f>
        <v>8/21/2019 5:28:56 PM</v>
      </c>
      <c r="J54" t="str">
        <f>"1"</f>
        <v>1</v>
      </c>
      <c r="K54" t="str">
        <f>"1"</f>
        <v>1</v>
      </c>
      <c r="L54" t="str">
        <f>"TN"</f>
        <v>TN</v>
      </c>
      <c r="M54" t="str">
        <f>"0.000"</f>
        <v>0.000</v>
      </c>
      <c r="N54" t="str">
        <f>"0.1544"</f>
        <v>0.1544</v>
      </c>
      <c r="O54" t="str">
        <f>"NPOC:-0.2381mg/L TN:0.1544mg/L"</f>
        <v>NPOC:-0.2381mg/L TN:0.1544mg/L</v>
      </c>
      <c r="P54">
        <v>0</v>
      </c>
      <c r="Q54" t="str">
        <f>"80"</f>
        <v>80</v>
      </c>
    </row>
    <row r="55" spans="1:17" x14ac:dyDescent="0.2">
      <c r="A55" t="str">
        <f>"Unknown"</f>
        <v>Unknown</v>
      </c>
      <c r="B55" t="str">
        <f>"NPOC/TN"</f>
        <v>NPOC/TN</v>
      </c>
      <c r="C55" t="str">
        <f>"DI"</f>
        <v>DI</v>
      </c>
      <c r="D55" t="str">
        <f>"DI"</f>
        <v>DI</v>
      </c>
      <c r="E55" t="str">
        <f>"C:\TOC3201\Methods\Itamar\acid_sample.met"</f>
        <v>C:\TOC3201\Methods\Itamar\acid_sample.met</v>
      </c>
      <c r="F55" t="str">
        <f>"C:\TOC3201\CalCurves\Itamar\N_cal_25ppm_acid_laurel.2019_08_21_15_23_49.cal"</f>
        <v>C:\TOC3201\CalCurves\Itamar\N_cal_25ppm_acid_laurel.2019_08_21_15_23_49.cal</v>
      </c>
      <c r="G55">
        <v>1</v>
      </c>
      <c r="H55" t="str">
        <f>""</f>
        <v/>
      </c>
      <c r="I55" t="str">
        <f>"8/21/2019 5:31:22 PM"</f>
        <v>8/21/2019 5:31:22 PM</v>
      </c>
      <c r="J55" t="str">
        <f>"1"</f>
        <v>1</v>
      </c>
      <c r="K55" t="str">
        <f>"2"</f>
        <v>2</v>
      </c>
      <c r="L55" t="str">
        <f>"TN"</f>
        <v>TN</v>
      </c>
      <c r="M55" t="str">
        <f>"0.000"</f>
        <v>0.000</v>
      </c>
      <c r="N55" t="str">
        <f>"0.1544"</f>
        <v>0.1544</v>
      </c>
      <c r="O55" t="str">
        <f>"NPOC:-0.2381mg/L TN:0.1544mg/L"</f>
        <v>NPOC:-0.2381mg/L TN:0.1544mg/L</v>
      </c>
      <c r="P55">
        <v>0</v>
      </c>
      <c r="Q55" t="str">
        <f>"80"</f>
        <v>80</v>
      </c>
    </row>
    <row r="56" spans="1:17" x14ac:dyDescent="0.2">
      <c r="A56" t="str">
        <f>"Unknown"</f>
        <v>Unknown</v>
      </c>
      <c r="B56" t="str">
        <f>"NPOC/TN"</f>
        <v>NPOC/TN</v>
      </c>
      <c r="C56" t="str">
        <f>"DI"</f>
        <v>DI</v>
      </c>
      <c r="D56" t="str">
        <f>"DI"</f>
        <v>DI</v>
      </c>
      <c r="E56" t="str">
        <f>"C:\TOC3201\Methods\Itamar\acid_sample.met"</f>
        <v>C:\TOC3201\Methods\Itamar\acid_sample.met</v>
      </c>
      <c r="F56" t="str">
        <f>"C:\TOC3201\CalCurves\Itamar\N_cal_25ppm_acid_laurel.2019_08_21_15_23_49.cal"</f>
        <v>C:\TOC3201\CalCurves\Itamar\N_cal_25ppm_acid_laurel.2019_08_21_15_23_49.cal</v>
      </c>
      <c r="G56">
        <v>1</v>
      </c>
      <c r="H56" t="str">
        <f>""</f>
        <v/>
      </c>
      <c r="I56" t="str">
        <f>"8/21/2019 5:33:46 PM"</f>
        <v>8/21/2019 5:33:46 PM</v>
      </c>
      <c r="J56" t="str">
        <f>"1"</f>
        <v>1</v>
      </c>
      <c r="K56" t="str">
        <f>"3"</f>
        <v>3</v>
      </c>
      <c r="L56" t="str">
        <f>"TN"</f>
        <v>TN</v>
      </c>
      <c r="M56" t="str">
        <f>"0.000"</f>
        <v>0.000</v>
      </c>
      <c r="N56" t="str">
        <f>"0.1544"</f>
        <v>0.1544</v>
      </c>
      <c r="O56" t="str">
        <f>"NPOC:-0.2381mg/L TN:0.1544mg/L"</f>
        <v>NPOC:-0.2381mg/L TN:0.1544mg/L</v>
      </c>
      <c r="P56">
        <v>0</v>
      </c>
      <c r="Q56" t="str">
        <f>"80"</f>
        <v>80</v>
      </c>
    </row>
    <row r="57" spans="1:17" x14ac:dyDescent="0.2">
      <c r="A57" t="str">
        <f>"Unknown"</f>
        <v>Unknown</v>
      </c>
      <c r="B57" t="str">
        <f>"NPOC/TN"</f>
        <v>NPOC/TN</v>
      </c>
      <c r="C57" t="str">
        <f>"25ppm"</f>
        <v>25ppm</v>
      </c>
      <c r="D57" t="str">
        <f>"25ppm"</f>
        <v>25ppm</v>
      </c>
      <c r="E57" t="str">
        <f>"C:\TOC3201\Methods\Itamar\acid_sample.met"</f>
        <v>C:\TOC3201\Methods\Itamar\acid_sample.met</v>
      </c>
      <c r="F57" t="str">
        <f>"C:\TOC3201\CalCurves\Itamar\C_cal_100ppm_acid_laurel.2019_08_21_13_17_46.cal"</f>
        <v>C:\TOC3201\CalCurves\Itamar\C_cal_100ppm_acid_laurel.2019_08_21_13_17_46.cal</v>
      </c>
      <c r="G57">
        <v>1</v>
      </c>
      <c r="H57" t="str">
        <f>""</f>
        <v/>
      </c>
      <c r="I57" t="str">
        <f>"8/21/2019 5:44:59 PM"</f>
        <v>8/21/2019 5:44:59 PM</v>
      </c>
      <c r="J57" t="str">
        <f>"1"</f>
        <v>1</v>
      </c>
      <c r="K57" t="str">
        <f>"1"</f>
        <v>1</v>
      </c>
      <c r="L57" t="str">
        <f>"NPOC"</f>
        <v>NPOC</v>
      </c>
      <c r="M57" t="str">
        <f>"29.36"</f>
        <v>29.36</v>
      </c>
      <c r="N57" t="str">
        <f>"22.71"</f>
        <v>22.71</v>
      </c>
      <c r="O57" t="str">
        <f>"NPOC:22.51mg/L TN:24.19mg/L"</f>
        <v>NPOC:22.51mg/L TN:24.19mg/L</v>
      </c>
      <c r="P57">
        <v>0</v>
      </c>
      <c r="Q57" t="str">
        <f>"80"</f>
        <v>80</v>
      </c>
    </row>
    <row r="58" spans="1:17" x14ac:dyDescent="0.2">
      <c r="A58" t="str">
        <f>"Unknown"</f>
        <v>Unknown</v>
      </c>
      <c r="B58" t="str">
        <f>"NPOC/TN"</f>
        <v>NPOC/TN</v>
      </c>
      <c r="C58" t="str">
        <f>"25ppm"</f>
        <v>25ppm</v>
      </c>
      <c r="D58" t="str">
        <f>"25ppm"</f>
        <v>25ppm</v>
      </c>
      <c r="E58" t="str">
        <f>"C:\TOC3201\Methods\Itamar\acid_sample.met"</f>
        <v>C:\TOC3201\Methods\Itamar\acid_sample.met</v>
      </c>
      <c r="F58" t="str">
        <f>"C:\TOC3201\CalCurves\Itamar\C_cal_100ppm_acid_laurel.2019_08_21_13_17_46.cal"</f>
        <v>C:\TOC3201\CalCurves\Itamar\C_cal_100ppm_acid_laurel.2019_08_21_13_17_46.cal</v>
      </c>
      <c r="G58">
        <v>1</v>
      </c>
      <c r="H58" t="str">
        <f>""</f>
        <v/>
      </c>
      <c r="I58" t="str">
        <f>"8/21/2019 5:48:44 PM"</f>
        <v>8/21/2019 5:48:44 PM</v>
      </c>
      <c r="J58" t="str">
        <f>"1"</f>
        <v>1</v>
      </c>
      <c r="K58" t="str">
        <f>"2"</f>
        <v>2</v>
      </c>
      <c r="L58" t="str">
        <f>"NPOC"</f>
        <v>NPOC</v>
      </c>
      <c r="M58" t="str">
        <f>"28.45"</f>
        <v>28.45</v>
      </c>
      <c r="N58" t="str">
        <f>"21.97"</f>
        <v>21.97</v>
      </c>
      <c r="O58" t="str">
        <f>"NPOC:22.51mg/L TN:24.19mg/L"</f>
        <v>NPOC:22.51mg/L TN:24.19mg/L</v>
      </c>
      <c r="P58">
        <v>0</v>
      </c>
      <c r="Q58" t="str">
        <f>"80"</f>
        <v>80</v>
      </c>
    </row>
    <row r="59" spans="1:17" x14ac:dyDescent="0.2">
      <c r="A59" t="str">
        <f>"Unknown"</f>
        <v>Unknown</v>
      </c>
      <c r="B59" t="str">
        <f>"NPOC/TN"</f>
        <v>NPOC/TN</v>
      </c>
      <c r="C59" t="str">
        <f>"25ppm"</f>
        <v>25ppm</v>
      </c>
      <c r="D59" t="str">
        <f>"25ppm"</f>
        <v>25ppm</v>
      </c>
      <c r="E59" t="str">
        <f>"C:\TOC3201\Methods\Itamar\acid_sample.met"</f>
        <v>C:\TOC3201\Methods\Itamar\acid_sample.met</v>
      </c>
      <c r="F59" t="str">
        <f>"C:\TOC3201\CalCurves\Itamar\C_cal_100ppm_acid_laurel.2019_08_21_13_17_46.cal"</f>
        <v>C:\TOC3201\CalCurves\Itamar\C_cal_100ppm_acid_laurel.2019_08_21_13_17_46.cal</v>
      </c>
      <c r="G59">
        <v>1</v>
      </c>
      <c r="H59" t="str">
        <f>""</f>
        <v/>
      </c>
      <c r="I59" t="str">
        <f>"8/21/2019 5:52:59 PM"</f>
        <v>8/21/2019 5:52:59 PM</v>
      </c>
      <c r="J59" t="str">
        <f>"1"</f>
        <v>1</v>
      </c>
      <c r="K59" t="str">
        <f>"3"</f>
        <v>3</v>
      </c>
      <c r="L59" t="str">
        <f>"NPOC"</f>
        <v>NPOC</v>
      </c>
      <c r="M59" t="str">
        <f>"29.52"</f>
        <v>29.52</v>
      </c>
      <c r="N59" t="str">
        <f>"22.84"</f>
        <v>22.84</v>
      </c>
      <c r="O59" t="str">
        <f>"NPOC:22.51mg/L TN:24.19mg/L"</f>
        <v>NPOC:22.51mg/L TN:24.19mg/L</v>
      </c>
      <c r="P59">
        <v>0</v>
      </c>
      <c r="Q59" t="str">
        <f>"80"</f>
        <v>80</v>
      </c>
    </row>
    <row r="60" spans="1:17" x14ac:dyDescent="0.2">
      <c r="A60" t="str">
        <f>"Unknown"</f>
        <v>Unknown</v>
      </c>
      <c r="B60" t="str">
        <f>"NPOC/TN"</f>
        <v>NPOC/TN</v>
      </c>
      <c r="C60" t="str">
        <f>"25ppm"</f>
        <v>25ppm</v>
      </c>
      <c r="D60" t="str">
        <f>"25ppm"</f>
        <v>25ppm</v>
      </c>
      <c r="E60" t="str">
        <f>"C:\TOC3201\Methods\Itamar\acid_sample.met"</f>
        <v>C:\TOC3201\Methods\Itamar\acid_sample.met</v>
      </c>
      <c r="F60" t="str">
        <f>"C:\TOC3201\CalCurves\Itamar\N_cal_25ppm_acid_laurel.2019_08_21_15_23_49.cal"</f>
        <v>C:\TOC3201\CalCurves\Itamar\N_cal_25ppm_acid_laurel.2019_08_21_15_23_49.cal</v>
      </c>
      <c r="G60">
        <v>1</v>
      </c>
      <c r="H60" t="str">
        <f>""</f>
        <v/>
      </c>
      <c r="I60" t="str">
        <f>"8/21/2019 5:44:59 PM"</f>
        <v>8/21/2019 5:44:59 PM</v>
      </c>
      <c r="J60" t="str">
        <f>"1"</f>
        <v>1</v>
      </c>
      <c r="K60" t="str">
        <f>"1"</f>
        <v>1</v>
      </c>
      <c r="L60" t="str">
        <f>"TN"</f>
        <v>TN</v>
      </c>
      <c r="M60" t="str">
        <f>"21.89"</f>
        <v>21.89</v>
      </c>
      <c r="N60" t="str">
        <f>"24.63"</f>
        <v>24.63</v>
      </c>
      <c r="O60" t="str">
        <f>"NPOC:22.51mg/L TN:24.19mg/L"</f>
        <v>NPOC:22.51mg/L TN:24.19mg/L</v>
      </c>
      <c r="P60">
        <v>0</v>
      </c>
      <c r="Q60" t="str">
        <f>"80"</f>
        <v>80</v>
      </c>
    </row>
    <row r="61" spans="1:17" x14ac:dyDescent="0.2">
      <c r="A61" t="str">
        <f>"Unknown"</f>
        <v>Unknown</v>
      </c>
      <c r="B61" t="str">
        <f>"NPOC/TN"</f>
        <v>NPOC/TN</v>
      </c>
      <c r="C61" t="str">
        <f>"25ppm"</f>
        <v>25ppm</v>
      </c>
      <c r="D61" t="str">
        <f>"25ppm"</f>
        <v>25ppm</v>
      </c>
      <c r="E61" t="str">
        <f>"C:\TOC3201\Methods\Itamar\acid_sample.met"</f>
        <v>C:\TOC3201\Methods\Itamar\acid_sample.met</v>
      </c>
      <c r="F61" t="str">
        <f>"C:\TOC3201\CalCurves\Itamar\N_cal_25ppm_acid_laurel.2019_08_21_15_23_49.cal"</f>
        <v>C:\TOC3201\CalCurves\Itamar\N_cal_25ppm_acid_laurel.2019_08_21_15_23_49.cal</v>
      </c>
      <c r="G61">
        <v>1</v>
      </c>
      <c r="H61" t="str">
        <f>""</f>
        <v/>
      </c>
      <c r="I61" t="str">
        <f>"8/21/2019 5:48:44 PM"</f>
        <v>8/21/2019 5:48:44 PM</v>
      </c>
      <c r="J61" t="str">
        <f>"1"</f>
        <v>1</v>
      </c>
      <c r="K61" t="str">
        <f>"2"</f>
        <v>2</v>
      </c>
      <c r="L61" t="str">
        <f>"TN"</f>
        <v>TN</v>
      </c>
      <c r="M61" t="str">
        <f>"21.09"</f>
        <v>21.09</v>
      </c>
      <c r="N61" t="str">
        <f>"23.75"</f>
        <v>23.75</v>
      </c>
      <c r="O61" t="str">
        <f>"NPOC:22.51mg/L TN:24.19mg/L"</f>
        <v>NPOC:22.51mg/L TN:24.19mg/L</v>
      </c>
      <c r="P61">
        <v>0</v>
      </c>
      <c r="Q61" t="str">
        <f>"80"</f>
        <v>80</v>
      </c>
    </row>
    <row r="62" spans="1:17" x14ac:dyDescent="0.2">
      <c r="A62" t="str">
        <f>"Unknown"</f>
        <v>Unknown</v>
      </c>
      <c r="B62" t="str">
        <f>"NPOC/TN"</f>
        <v>NPOC/TN</v>
      </c>
      <c r="C62" t="str">
        <f>"25ppm"</f>
        <v>25ppm</v>
      </c>
      <c r="D62" t="str">
        <f>"25ppm"</f>
        <v>25ppm</v>
      </c>
      <c r="E62" t="str">
        <f>"C:\TOC3201\Methods\Itamar\acid_sample.met"</f>
        <v>C:\TOC3201\Methods\Itamar\acid_sample.met</v>
      </c>
      <c r="F62" t="str">
        <f>"C:\TOC3201\CalCurves\Itamar\N_cal_25ppm_acid_laurel.2019_08_21_15_23_49.cal"</f>
        <v>C:\TOC3201\CalCurves\Itamar\N_cal_25ppm_acid_laurel.2019_08_21_15_23_49.cal</v>
      </c>
      <c r="G62">
        <v>1</v>
      </c>
      <c r="H62" t="str">
        <f>""</f>
        <v/>
      </c>
      <c r="I62" t="str">
        <f>"8/21/2019 5:52:59 PM"</f>
        <v>8/21/2019 5:52:59 PM</v>
      </c>
      <c r="J62" t="str">
        <f>"1"</f>
        <v>1</v>
      </c>
      <c r="K62" t="str">
        <f>"3"</f>
        <v>3</v>
      </c>
      <c r="L62" t="str">
        <f>"TN"</f>
        <v>TN</v>
      </c>
      <c r="M62" t="str">
        <f>"23.85"</f>
        <v>23.85</v>
      </c>
      <c r="N62" t="str">
        <f>"26.78"</f>
        <v>26.78</v>
      </c>
      <c r="O62" t="str">
        <f>"NPOC:22.51mg/L TN:24.19mg/L"</f>
        <v>NPOC:22.51mg/L TN:24.19mg/L</v>
      </c>
      <c r="P62">
        <v>1</v>
      </c>
      <c r="Q62" t="str">
        <f>"80"</f>
        <v>80</v>
      </c>
    </row>
    <row r="63" spans="1:17" x14ac:dyDescent="0.2">
      <c r="A63" t="str">
        <f>"Unknown"</f>
        <v>Unknown</v>
      </c>
      <c r="B63" t="str">
        <f>"NPOC/TN"</f>
        <v>NPOC/TN</v>
      </c>
      <c r="C63" t="str">
        <f>"25ppm"</f>
        <v>25ppm</v>
      </c>
      <c r="D63" t="str">
        <f>"25ppm"</f>
        <v>25ppm</v>
      </c>
      <c r="E63" t="str">
        <f>"C:\TOC3201\Methods\Itamar\acid_sample.met"</f>
        <v>C:\TOC3201\Methods\Itamar\acid_sample.met</v>
      </c>
      <c r="F63" t="str">
        <f>"C:\TOC3201\CalCurves\Itamar\N_cal_25ppm_acid_laurel.2019_08_21_15_23_49.cal"</f>
        <v>C:\TOC3201\CalCurves\Itamar\N_cal_25ppm_acid_laurel.2019_08_21_15_23_49.cal</v>
      </c>
      <c r="G63">
        <v>1</v>
      </c>
      <c r="H63" t="str">
        <f>""</f>
        <v/>
      </c>
      <c r="I63" t="str">
        <f>"8/21/2019 5:56:43 PM"</f>
        <v>8/21/2019 5:56:43 PM</v>
      </c>
      <c r="J63" t="str">
        <f>"1"</f>
        <v>1</v>
      </c>
      <c r="K63" t="str">
        <f>"4"</f>
        <v>4</v>
      </c>
      <c r="L63" t="str">
        <f>"TN"</f>
        <v>TN</v>
      </c>
      <c r="M63" t="str">
        <f>"21.47"</f>
        <v>21.47</v>
      </c>
      <c r="N63" t="str">
        <f>"24.17"</f>
        <v>24.17</v>
      </c>
      <c r="O63" t="str">
        <f>"NPOC:22.51mg/L TN:24.19mg/L"</f>
        <v>NPOC:22.51mg/L TN:24.19mg/L</v>
      </c>
      <c r="P63">
        <v>0</v>
      </c>
      <c r="Q63" t="str">
        <f>"80"</f>
        <v>80</v>
      </c>
    </row>
    <row r="64" spans="1:17" x14ac:dyDescent="0.2">
      <c r="A64" t="str">
        <f>"Unknown"</f>
        <v>Unknown</v>
      </c>
      <c r="B64" t="str">
        <f>"NPOC/TN"</f>
        <v>NPOC/TN</v>
      </c>
      <c r="C64" t="str">
        <f>"K2so4"</f>
        <v>K2so4</v>
      </c>
      <c r="D64" t="str">
        <f>"K2so4"</f>
        <v>K2so4</v>
      </c>
      <c r="E64" t="str">
        <f>"C:\TOC3201\Methods\Itamar\acid_sample.met"</f>
        <v>C:\TOC3201\Methods\Itamar\acid_sample.met</v>
      </c>
      <c r="F64" t="str">
        <f>"C:\TOC3201\CalCurves\Itamar\C_cal_100ppm_acid_laurel.2019_08_21_13_17_46.cal"</f>
        <v>C:\TOC3201\CalCurves\Itamar\C_cal_100ppm_acid_laurel.2019_08_21_13_17_46.cal</v>
      </c>
      <c r="G64">
        <v>1</v>
      </c>
      <c r="H64" t="str">
        <f>""</f>
        <v/>
      </c>
      <c r="I64" t="str">
        <f>"8/21/2019 6:06:04 PM"</f>
        <v>8/21/2019 6:06:04 PM</v>
      </c>
      <c r="J64" t="str">
        <f>"1"</f>
        <v>1</v>
      </c>
      <c r="K64" t="str">
        <f>"1"</f>
        <v>1</v>
      </c>
      <c r="L64" t="str">
        <f>"NPOC"</f>
        <v>NPOC</v>
      </c>
      <c r="M64" t="str">
        <f>"3.423"</f>
        <v>3.423</v>
      </c>
      <c r="N64" t="str">
        <f>"0.3750"</f>
        <v>0.3750</v>
      </c>
      <c r="O64" t="str">
        <f>"NPOC:0.4450mg/L TN:0.1544mg/L"</f>
        <v>NPOC:0.4450mg/L TN:0.1544mg/L</v>
      </c>
      <c r="P64">
        <v>1</v>
      </c>
      <c r="Q64" t="str">
        <f>"80"</f>
        <v>80</v>
      </c>
    </row>
    <row r="65" spans="1:17" x14ac:dyDescent="0.2">
      <c r="A65" t="str">
        <f>"Unknown"</f>
        <v>Unknown</v>
      </c>
      <c r="B65" t="str">
        <f>"NPOC/TN"</f>
        <v>NPOC/TN</v>
      </c>
      <c r="C65" t="str">
        <f>"K2so4"</f>
        <v>K2so4</v>
      </c>
      <c r="D65" t="str">
        <f>"K2so4"</f>
        <v>K2so4</v>
      </c>
      <c r="E65" t="str">
        <f>"C:\TOC3201\Methods\Itamar\acid_sample.met"</f>
        <v>C:\TOC3201\Methods\Itamar\acid_sample.met</v>
      </c>
      <c r="F65" t="str">
        <f>"C:\TOC3201\CalCurves\Itamar\C_cal_100ppm_acid_laurel.2019_08_21_13_17_46.cal"</f>
        <v>C:\TOC3201\CalCurves\Itamar\C_cal_100ppm_acid_laurel.2019_08_21_13_17_46.cal</v>
      </c>
      <c r="G65">
        <v>1</v>
      </c>
      <c r="H65" t="str">
        <f>""</f>
        <v/>
      </c>
      <c r="I65" t="str">
        <f>"8/21/2019 6:08:52 PM"</f>
        <v>8/21/2019 6:08:52 PM</v>
      </c>
      <c r="J65" t="str">
        <f>"1"</f>
        <v>1</v>
      </c>
      <c r="K65" t="str">
        <f>"2"</f>
        <v>2</v>
      </c>
      <c r="L65" t="str">
        <f>"NPOC"</f>
        <v>NPOC</v>
      </c>
      <c r="M65" t="str">
        <f>"3.693"</f>
        <v>3.693</v>
      </c>
      <c r="N65" t="str">
        <f>"0.4302"</f>
        <v>0.4302</v>
      </c>
      <c r="O65" t="str">
        <f>"NPOC:0.4450mg/L TN:0.1544mg/L"</f>
        <v>NPOC:0.4450mg/L TN:0.1544mg/L</v>
      </c>
      <c r="P65">
        <v>0</v>
      </c>
      <c r="Q65" t="str">
        <f>"80"</f>
        <v>80</v>
      </c>
    </row>
    <row r="66" spans="1:17" x14ac:dyDescent="0.2">
      <c r="A66" t="str">
        <f>"Unknown"</f>
        <v>Unknown</v>
      </c>
      <c r="B66" t="str">
        <f>"NPOC/TN"</f>
        <v>NPOC/TN</v>
      </c>
      <c r="C66" t="str">
        <f>"K2so4"</f>
        <v>K2so4</v>
      </c>
      <c r="D66" t="str">
        <f>"K2so4"</f>
        <v>K2so4</v>
      </c>
      <c r="E66" t="str">
        <f>"C:\TOC3201\Methods\Itamar\acid_sample.met"</f>
        <v>C:\TOC3201\Methods\Itamar\acid_sample.met</v>
      </c>
      <c r="F66" t="str">
        <f>"C:\TOC3201\CalCurves\Itamar\C_cal_100ppm_acid_laurel.2019_08_21_13_17_46.cal"</f>
        <v>C:\TOC3201\CalCurves\Itamar\C_cal_100ppm_acid_laurel.2019_08_21_13_17_46.cal</v>
      </c>
      <c r="G66">
        <v>1</v>
      </c>
      <c r="H66" t="str">
        <f>""</f>
        <v/>
      </c>
      <c r="I66" t="str">
        <f>"8/21/2019 6:11:33 PM"</f>
        <v>8/21/2019 6:11:33 PM</v>
      </c>
      <c r="J66" t="str">
        <f>"1"</f>
        <v>1</v>
      </c>
      <c r="K66" t="str">
        <f>"3"</f>
        <v>3</v>
      </c>
      <c r="L66" t="str">
        <f>"NPOC"</f>
        <v>NPOC</v>
      </c>
      <c r="M66" t="str">
        <f>"3.787"</f>
        <v>3.787</v>
      </c>
      <c r="N66" t="str">
        <f>"0.4494"</f>
        <v>0.4494</v>
      </c>
      <c r="O66" t="str">
        <f>"NPOC:0.4450mg/L TN:0.1544mg/L"</f>
        <v>NPOC:0.4450mg/L TN:0.1544mg/L</v>
      </c>
      <c r="P66">
        <v>0</v>
      </c>
      <c r="Q66" t="str">
        <f>"80"</f>
        <v>80</v>
      </c>
    </row>
    <row r="67" spans="1:17" x14ac:dyDescent="0.2">
      <c r="A67" t="str">
        <f>"Unknown"</f>
        <v>Unknown</v>
      </c>
      <c r="B67" t="str">
        <f>"NPOC/TN"</f>
        <v>NPOC/TN</v>
      </c>
      <c r="C67" t="str">
        <f>"K2so4"</f>
        <v>K2so4</v>
      </c>
      <c r="D67" t="str">
        <f>"K2so4"</f>
        <v>K2so4</v>
      </c>
      <c r="E67" t="str">
        <f>"C:\TOC3201\Methods\Itamar\acid_sample.met"</f>
        <v>C:\TOC3201\Methods\Itamar\acid_sample.met</v>
      </c>
      <c r="F67" t="str">
        <f>"C:\TOC3201\CalCurves\Itamar\C_cal_100ppm_acid_laurel.2019_08_21_13_17_46.cal"</f>
        <v>C:\TOC3201\CalCurves\Itamar\C_cal_100ppm_acid_laurel.2019_08_21_13_17_46.cal</v>
      </c>
      <c r="G67">
        <v>1</v>
      </c>
      <c r="H67" t="str">
        <f>""</f>
        <v/>
      </c>
      <c r="I67" t="str">
        <f>"8/21/2019 6:14:17 PM"</f>
        <v>8/21/2019 6:14:17 PM</v>
      </c>
      <c r="J67" t="str">
        <f>"1"</f>
        <v>1</v>
      </c>
      <c r="K67" t="str">
        <f>"4"</f>
        <v>4</v>
      </c>
      <c r="L67" t="str">
        <f>"NPOC"</f>
        <v>NPOC</v>
      </c>
      <c r="M67" t="str">
        <f>"3.817"</f>
        <v>3.817</v>
      </c>
      <c r="N67" t="str">
        <f>"0.4555"</f>
        <v>0.4555</v>
      </c>
      <c r="O67" t="str">
        <f>"NPOC:0.4450mg/L TN:0.1544mg/L"</f>
        <v>NPOC:0.4450mg/L TN:0.1544mg/L</v>
      </c>
      <c r="P67">
        <v>0</v>
      </c>
      <c r="Q67" t="str">
        <f>"80"</f>
        <v>80</v>
      </c>
    </row>
    <row r="68" spans="1:17" x14ac:dyDescent="0.2">
      <c r="A68" t="str">
        <f>"Unknown"</f>
        <v>Unknown</v>
      </c>
      <c r="B68" t="str">
        <f>"NPOC/TN"</f>
        <v>NPOC/TN</v>
      </c>
      <c r="C68" t="str">
        <f>"K2so4"</f>
        <v>K2so4</v>
      </c>
      <c r="D68" t="str">
        <f>"K2so4"</f>
        <v>K2so4</v>
      </c>
      <c r="E68" t="str">
        <f>"C:\TOC3201\Methods\Itamar\acid_sample.met"</f>
        <v>C:\TOC3201\Methods\Itamar\acid_sample.met</v>
      </c>
      <c r="F68" t="str">
        <f>"C:\TOC3201\CalCurves\Itamar\N_cal_25ppm_acid_laurel.2019_08_21_15_23_49.cal"</f>
        <v>C:\TOC3201\CalCurves\Itamar\N_cal_25ppm_acid_laurel.2019_08_21_15_23_49.cal</v>
      </c>
      <c r="G68">
        <v>1</v>
      </c>
      <c r="H68" t="str">
        <f>""</f>
        <v/>
      </c>
      <c r="I68" t="str">
        <f>"8/21/2019 6:06:04 PM"</f>
        <v>8/21/2019 6:06:04 PM</v>
      </c>
      <c r="J68" t="str">
        <f>"1"</f>
        <v>1</v>
      </c>
      <c r="K68" t="str">
        <f>"1"</f>
        <v>1</v>
      </c>
      <c r="L68" t="str">
        <f>"TN"</f>
        <v>TN</v>
      </c>
      <c r="M68" t="str">
        <f>"0.000"</f>
        <v>0.000</v>
      </c>
      <c r="N68" t="str">
        <f>"0.1544"</f>
        <v>0.1544</v>
      </c>
      <c r="O68" t="str">
        <f>"NPOC:0.4450mg/L TN:0.1544mg/L"</f>
        <v>NPOC:0.4450mg/L TN:0.1544mg/L</v>
      </c>
      <c r="P68">
        <v>0</v>
      </c>
      <c r="Q68" t="str">
        <f>"80"</f>
        <v>80</v>
      </c>
    </row>
    <row r="69" spans="1:17" x14ac:dyDescent="0.2">
      <c r="A69" t="str">
        <f>"Unknown"</f>
        <v>Unknown</v>
      </c>
      <c r="B69" t="str">
        <f>"NPOC/TN"</f>
        <v>NPOC/TN</v>
      </c>
      <c r="C69" t="str">
        <f>"K2so4"</f>
        <v>K2so4</v>
      </c>
      <c r="D69" t="str">
        <f>"K2so4"</f>
        <v>K2so4</v>
      </c>
      <c r="E69" t="str">
        <f>"C:\TOC3201\Methods\Itamar\acid_sample.met"</f>
        <v>C:\TOC3201\Methods\Itamar\acid_sample.met</v>
      </c>
      <c r="F69" t="str">
        <f>"C:\TOC3201\CalCurves\Itamar\N_cal_25ppm_acid_laurel.2019_08_21_15_23_49.cal"</f>
        <v>C:\TOC3201\CalCurves\Itamar\N_cal_25ppm_acid_laurel.2019_08_21_15_23_49.cal</v>
      </c>
      <c r="G69">
        <v>1</v>
      </c>
      <c r="H69" t="str">
        <f>""</f>
        <v/>
      </c>
      <c r="I69" t="str">
        <f>"8/21/2019 6:08:52 PM"</f>
        <v>8/21/2019 6:08:52 PM</v>
      </c>
      <c r="J69" t="str">
        <f>"1"</f>
        <v>1</v>
      </c>
      <c r="K69" t="str">
        <f>"2"</f>
        <v>2</v>
      </c>
      <c r="L69" t="str">
        <f>"TN"</f>
        <v>TN</v>
      </c>
      <c r="M69" t="str">
        <f>"0.000"</f>
        <v>0.000</v>
      </c>
      <c r="N69" t="str">
        <f>"0.1544"</f>
        <v>0.1544</v>
      </c>
      <c r="O69" t="str">
        <f>"NPOC:0.4450mg/L TN:0.1544mg/L"</f>
        <v>NPOC:0.4450mg/L TN:0.1544mg/L</v>
      </c>
      <c r="P69">
        <v>0</v>
      </c>
      <c r="Q69" t="str">
        <f>"80"</f>
        <v>80</v>
      </c>
    </row>
    <row r="70" spans="1:17" x14ac:dyDescent="0.2">
      <c r="A70" t="str">
        <f>"Unknown"</f>
        <v>Unknown</v>
      </c>
      <c r="B70" t="str">
        <f>"NPOC/TN"</f>
        <v>NPOC/TN</v>
      </c>
      <c r="C70" t="str">
        <f>"K2so4"</f>
        <v>K2so4</v>
      </c>
      <c r="D70" t="str">
        <f>"K2so4"</f>
        <v>K2so4</v>
      </c>
      <c r="E70" t="str">
        <f>"C:\TOC3201\Methods\Itamar\acid_sample.met"</f>
        <v>C:\TOC3201\Methods\Itamar\acid_sample.met</v>
      </c>
      <c r="F70" t="str">
        <f>"C:\TOC3201\CalCurves\Itamar\N_cal_25ppm_acid_laurel.2019_08_21_15_23_49.cal"</f>
        <v>C:\TOC3201\CalCurves\Itamar\N_cal_25ppm_acid_laurel.2019_08_21_15_23_49.cal</v>
      </c>
      <c r="G70">
        <v>1</v>
      </c>
      <c r="H70" t="str">
        <f>""</f>
        <v/>
      </c>
      <c r="I70" t="str">
        <f>"8/21/2019 6:11:33 PM"</f>
        <v>8/21/2019 6:11:33 PM</v>
      </c>
      <c r="J70" t="str">
        <f>"1"</f>
        <v>1</v>
      </c>
      <c r="K70" t="str">
        <f>"3"</f>
        <v>3</v>
      </c>
      <c r="L70" t="str">
        <f>"TN"</f>
        <v>TN</v>
      </c>
      <c r="M70" t="str">
        <f>"0.000"</f>
        <v>0.000</v>
      </c>
      <c r="N70" t="str">
        <f>"0.1544"</f>
        <v>0.1544</v>
      </c>
      <c r="O70" t="str">
        <f>"NPOC:0.4450mg/L TN:0.1544mg/L"</f>
        <v>NPOC:0.4450mg/L TN:0.1544mg/L</v>
      </c>
      <c r="P70">
        <v>0</v>
      </c>
      <c r="Q70" t="str">
        <f>"80"</f>
        <v>80</v>
      </c>
    </row>
    <row r="71" spans="1:17" x14ac:dyDescent="0.2">
      <c r="A71" t="str">
        <f>"Unknown"</f>
        <v>Unknown</v>
      </c>
      <c r="B71" t="str">
        <f>"NPOC/TN"</f>
        <v>NPOC/TN</v>
      </c>
      <c r="C71" t="str">
        <f>"1106"</f>
        <v>1106</v>
      </c>
      <c r="D71" t="str">
        <f>"DI"</f>
        <v>DI</v>
      </c>
      <c r="E71" t="str">
        <f>"C:\TOC3201\Methods\Itamar\acid_sample.met"</f>
        <v>C:\TOC3201\Methods\Itamar\acid_sample.met</v>
      </c>
      <c r="F71" t="str">
        <f>"C:\TOC3201\CalCurves\Itamar\C_cal_100ppm_acid_laurel.2019_08_21_13_17_46.cal"</f>
        <v>C:\TOC3201\CalCurves\Itamar\C_cal_100ppm_acid_laurel.2019_08_21_13_17_46.cal</v>
      </c>
      <c r="G71">
        <v>1</v>
      </c>
      <c r="H71" t="str">
        <f>""</f>
        <v/>
      </c>
      <c r="I71" t="str">
        <f>"8/21/2019 6:24:08 PM"</f>
        <v>8/21/2019 6:24:08 PM</v>
      </c>
      <c r="J71" t="str">
        <f>"1"</f>
        <v>1</v>
      </c>
      <c r="K71" t="str">
        <f>"1"</f>
        <v>1</v>
      </c>
      <c r="L71" t="str">
        <f>"NPOC"</f>
        <v>NPOC</v>
      </c>
      <c r="M71" t="str">
        <f>"23.74"</f>
        <v>23.74</v>
      </c>
      <c r="N71" t="str">
        <f>"4.529"</f>
        <v>4.529</v>
      </c>
      <c r="O71" t="str">
        <f>"NPOC:4.514mg/L TN:0.4797mg/L"</f>
        <v>NPOC:4.514mg/L TN:0.4797mg/L</v>
      </c>
      <c r="P71">
        <v>0</v>
      </c>
      <c r="Q71" t="str">
        <f>"80"</f>
        <v>80</v>
      </c>
    </row>
    <row r="72" spans="1:17" x14ac:dyDescent="0.2">
      <c r="A72" t="str">
        <f>"Unknown"</f>
        <v>Unknown</v>
      </c>
      <c r="B72" t="str">
        <f>"NPOC/TN"</f>
        <v>NPOC/TN</v>
      </c>
      <c r="C72" t="str">
        <f>"1106"</f>
        <v>1106</v>
      </c>
      <c r="D72" t="str">
        <f>"DI"</f>
        <v>DI</v>
      </c>
      <c r="E72" t="str">
        <f>"C:\TOC3201\Methods\Itamar\acid_sample.met"</f>
        <v>C:\TOC3201\Methods\Itamar\acid_sample.met</v>
      </c>
      <c r="F72" t="str">
        <f>"C:\TOC3201\CalCurves\Itamar\C_cal_100ppm_acid_laurel.2019_08_21_13_17_46.cal"</f>
        <v>C:\TOC3201\CalCurves\Itamar\C_cal_100ppm_acid_laurel.2019_08_21_13_17_46.cal</v>
      </c>
      <c r="G72">
        <v>1</v>
      </c>
      <c r="H72" t="str">
        <f>""</f>
        <v/>
      </c>
      <c r="I72" t="str">
        <f>"8/21/2019 6:27:24 PM"</f>
        <v>8/21/2019 6:27:24 PM</v>
      </c>
      <c r="J72" t="str">
        <f>"1"</f>
        <v>1</v>
      </c>
      <c r="K72" t="str">
        <f>"2"</f>
        <v>2</v>
      </c>
      <c r="L72" t="str">
        <f>"NPOC"</f>
        <v>NPOC</v>
      </c>
      <c r="M72" t="str">
        <f>"22.73"</f>
        <v>22.73</v>
      </c>
      <c r="N72" t="str">
        <f>"4.322"</f>
        <v>4.322</v>
      </c>
      <c r="O72" t="str">
        <f>"NPOC:4.514mg/L TN:0.4797mg/L"</f>
        <v>NPOC:4.514mg/L TN:0.4797mg/L</v>
      </c>
      <c r="P72">
        <v>1</v>
      </c>
      <c r="Q72" t="str">
        <f>"80"</f>
        <v>80</v>
      </c>
    </row>
    <row r="73" spans="1:17" x14ac:dyDescent="0.2">
      <c r="A73" t="str">
        <f>"Unknown"</f>
        <v>Unknown</v>
      </c>
      <c r="B73" t="str">
        <f>"NPOC/TN"</f>
        <v>NPOC/TN</v>
      </c>
      <c r="C73" t="str">
        <f>"1106"</f>
        <v>1106</v>
      </c>
      <c r="D73" t="str">
        <f>"DI"</f>
        <v>DI</v>
      </c>
      <c r="E73" t="str">
        <f>"C:\TOC3201\Methods\Itamar\acid_sample.met"</f>
        <v>C:\TOC3201\Methods\Itamar\acid_sample.met</v>
      </c>
      <c r="F73" t="str">
        <f>"C:\TOC3201\CalCurves\Itamar\C_cal_100ppm_acid_laurel.2019_08_21_13_17_46.cal"</f>
        <v>C:\TOC3201\CalCurves\Itamar\C_cal_100ppm_acid_laurel.2019_08_21_13_17_46.cal</v>
      </c>
      <c r="G73">
        <v>1</v>
      </c>
      <c r="H73" t="str">
        <f>""</f>
        <v/>
      </c>
      <c r="I73" t="str">
        <f>"8/21/2019 6:30:44 PM"</f>
        <v>8/21/2019 6:30:44 PM</v>
      </c>
      <c r="J73" t="str">
        <f>"1"</f>
        <v>1</v>
      </c>
      <c r="K73" t="str">
        <f>"3"</f>
        <v>3</v>
      </c>
      <c r="L73" t="str">
        <f>"NPOC"</f>
        <v>NPOC</v>
      </c>
      <c r="M73" t="str">
        <f>"23.73"</f>
        <v>23.73</v>
      </c>
      <c r="N73" t="str">
        <f>"4.527"</f>
        <v>4.527</v>
      </c>
      <c r="O73" t="str">
        <f>"NPOC:4.514mg/L TN:0.4797mg/L"</f>
        <v>NPOC:4.514mg/L TN:0.4797mg/L</v>
      </c>
      <c r="P73">
        <v>0</v>
      </c>
      <c r="Q73" t="str">
        <f>"80"</f>
        <v>80</v>
      </c>
    </row>
    <row r="74" spans="1:17" x14ac:dyDescent="0.2">
      <c r="A74" t="str">
        <f>"Unknown"</f>
        <v>Unknown</v>
      </c>
      <c r="B74" t="str">
        <f>"NPOC/TN"</f>
        <v>NPOC/TN</v>
      </c>
      <c r="C74" t="str">
        <f>"1106"</f>
        <v>1106</v>
      </c>
      <c r="D74" t="str">
        <f>"DI"</f>
        <v>DI</v>
      </c>
      <c r="E74" t="str">
        <f>"C:\TOC3201\Methods\Itamar\acid_sample.met"</f>
        <v>C:\TOC3201\Methods\Itamar\acid_sample.met</v>
      </c>
      <c r="F74" t="str">
        <f>"C:\TOC3201\CalCurves\Itamar\C_cal_100ppm_acid_laurel.2019_08_21_13_17_46.cal"</f>
        <v>C:\TOC3201\CalCurves\Itamar\C_cal_100ppm_acid_laurel.2019_08_21_13_17_46.cal</v>
      </c>
      <c r="G74">
        <v>1</v>
      </c>
      <c r="H74" t="str">
        <f>""</f>
        <v/>
      </c>
      <c r="I74" t="str">
        <f>"8/21/2019 6:33:57 PM"</f>
        <v>8/21/2019 6:33:57 PM</v>
      </c>
      <c r="J74" t="str">
        <f>"1"</f>
        <v>1</v>
      </c>
      <c r="K74" t="str">
        <f>"4"</f>
        <v>4</v>
      </c>
      <c r="L74" t="str">
        <f>"NPOC"</f>
        <v>NPOC</v>
      </c>
      <c r="M74" t="str">
        <f>"23.53"</f>
        <v>23.53</v>
      </c>
      <c r="N74" t="str">
        <f>"4.486"</f>
        <v>4.486</v>
      </c>
      <c r="O74" t="str">
        <f>"NPOC:4.514mg/L TN:0.4797mg/L"</f>
        <v>NPOC:4.514mg/L TN:0.4797mg/L</v>
      </c>
      <c r="P74">
        <v>0</v>
      </c>
      <c r="Q74" t="str">
        <f>"80"</f>
        <v>80</v>
      </c>
    </row>
    <row r="75" spans="1:17" x14ac:dyDescent="0.2">
      <c r="A75" t="str">
        <f>"Unknown"</f>
        <v>Unknown</v>
      </c>
      <c r="B75" t="str">
        <f>"NPOC/TN"</f>
        <v>NPOC/TN</v>
      </c>
      <c r="C75" t="str">
        <f>"1106"</f>
        <v>1106</v>
      </c>
      <c r="D75" t="str">
        <f>"DI"</f>
        <v>DI</v>
      </c>
      <c r="E75" t="str">
        <f>"C:\TOC3201\Methods\Itamar\acid_sample.met"</f>
        <v>C:\TOC3201\Methods\Itamar\acid_sample.met</v>
      </c>
      <c r="F75" t="str">
        <f>"C:\TOC3201\CalCurves\Itamar\N_cal_25ppm_acid_laurel.2019_08_21_15_23_49.cal"</f>
        <v>C:\TOC3201\CalCurves\Itamar\N_cal_25ppm_acid_laurel.2019_08_21_15_23_49.cal</v>
      </c>
      <c r="G75">
        <v>1</v>
      </c>
      <c r="H75" t="str">
        <f>""</f>
        <v/>
      </c>
      <c r="I75" t="str">
        <f>"8/21/2019 6:24:08 PM"</f>
        <v>8/21/2019 6:24:08 PM</v>
      </c>
      <c r="J75" t="str">
        <f>"1"</f>
        <v>1</v>
      </c>
      <c r="K75" t="str">
        <f>"1"</f>
        <v>1</v>
      </c>
      <c r="L75" t="str">
        <f>"TN"</f>
        <v>TN</v>
      </c>
      <c r="M75" t="str">
        <f>"0.000"</f>
        <v>0.000</v>
      </c>
      <c r="N75" t="str">
        <f>"0.1544"</f>
        <v>0.1544</v>
      </c>
      <c r="O75" t="str">
        <f>"NPOC:4.514mg/L TN:0.4797mg/L"</f>
        <v>NPOC:4.514mg/L TN:0.4797mg/L</v>
      </c>
      <c r="P75">
        <v>1</v>
      </c>
      <c r="Q75" t="str">
        <f>"80"</f>
        <v>80</v>
      </c>
    </row>
    <row r="76" spans="1:17" x14ac:dyDescent="0.2">
      <c r="A76" t="str">
        <f>"Unknown"</f>
        <v>Unknown</v>
      </c>
      <c r="B76" t="str">
        <f>"NPOC/TN"</f>
        <v>NPOC/TN</v>
      </c>
      <c r="C76" t="str">
        <f>"1106"</f>
        <v>1106</v>
      </c>
      <c r="D76" t="str">
        <f>"DI"</f>
        <v>DI</v>
      </c>
      <c r="E76" t="str">
        <f>"C:\TOC3201\Methods\Itamar\acid_sample.met"</f>
        <v>C:\TOC3201\Methods\Itamar\acid_sample.met</v>
      </c>
      <c r="F76" t="str">
        <f>"C:\TOC3201\CalCurves\Itamar\N_cal_25ppm_acid_laurel.2019_08_21_15_23_49.cal"</f>
        <v>C:\TOC3201\CalCurves\Itamar\N_cal_25ppm_acid_laurel.2019_08_21_15_23_49.cal</v>
      </c>
      <c r="G76">
        <v>1</v>
      </c>
      <c r="H76" t="str">
        <f>""</f>
        <v/>
      </c>
      <c r="I76" t="str">
        <f>"8/21/2019 6:27:24 PM"</f>
        <v>8/21/2019 6:27:24 PM</v>
      </c>
      <c r="J76" t="str">
        <f>"1"</f>
        <v>1</v>
      </c>
      <c r="K76" t="str">
        <f>"2"</f>
        <v>2</v>
      </c>
      <c r="L76" t="str">
        <f>"TN"</f>
        <v>TN</v>
      </c>
      <c r="M76" t="str">
        <f>"1.010"</f>
        <v>1.010</v>
      </c>
      <c r="N76" t="str">
        <f>"0.4314"</f>
        <v>0.4314</v>
      </c>
      <c r="O76" t="str">
        <f>"NPOC:4.514mg/L TN:0.4797mg/L"</f>
        <v>NPOC:4.514mg/L TN:0.4797mg/L</v>
      </c>
      <c r="P76">
        <v>0</v>
      </c>
      <c r="Q76" t="str">
        <f>"80"</f>
        <v>80</v>
      </c>
    </row>
    <row r="77" spans="1:17" x14ac:dyDescent="0.2">
      <c r="A77" t="str">
        <f>"Unknown"</f>
        <v>Unknown</v>
      </c>
      <c r="B77" t="str">
        <f>"NPOC/TN"</f>
        <v>NPOC/TN</v>
      </c>
      <c r="C77" t="str">
        <f>"1106"</f>
        <v>1106</v>
      </c>
      <c r="D77" t="str">
        <f>"DI"</f>
        <v>DI</v>
      </c>
      <c r="E77" t="str">
        <f>"C:\TOC3201\Methods\Itamar\acid_sample.met"</f>
        <v>C:\TOC3201\Methods\Itamar\acid_sample.met</v>
      </c>
      <c r="F77" t="str">
        <f>"C:\TOC3201\CalCurves\Itamar\N_cal_25ppm_acid_laurel.2019_08_21_15_23_49.cal"</f>
        <v>C:\TOC3201\CalCurves\Itamar\N_cal_25ppm_acid_laurel.2019_08_21_15_23_49.cal</v>
      </c>
      <c r="G77">
        <v>1</v>
      </c>
      <c r="H77" t="str">
        <f>""</f>
        <v/>
      </c>
      <c r="I77" t="str">
        <f>"8/21/2019 6:30:44 PM"</f>
        <v>8/21/2019 6:30:44 PM</v>
      </c>
      <c r="J77" t="str">
        <f>"1"</f>
        <v>1</v>
      </c>
      <c r="K77" t="str">
        <f>"3"</f>
        <v>3</v>
      </c>
      <c r="L77" t="str">
        <f>"TN"</f>
        <v>TN</v>
      </c>
      <c r="M77" t="str">
        <f>"1.003"</f>
        <v>1.003</v>
      </c>
      <c r="N77" t="str">
        <f>"0.4295"</f>
        <v>0.4295</v>
      </c>
      <c r="O77" t="str">
        <f>"NPOC:4.514mg/L TN:0.4797mg/L"</f>
        <v>NPOC:4.514mg/L TN:0.4797mg/L</v>
      </c>
      <c r="P77">
        <v>0</v>
      </c>
      <c r="Q77" t="str">
        <f>"80"</f>
        <v>80</v>
      </c>
    </row>
    <row r="78" spans="1:17" x14ac:dyDescent="0.2">
      <c r="A78" t="str">
        <f>"Unknown"</f>
        <v>Unknown</v>
      </c>
      <c r="B78" t="str">
        <f>"NPOC/TN"</f>
        <v>NPOC/TN</v>
      </c>
      <c r="C78" t="str">
        <f>"1106"</f>
        <v>1106</v>
      </c>
      <c r="D78" t="str">
        <f>"DI"</f>
        <v>DI</v>
      </c>
      <c r="E78" t="str">
        <f>"C:\TOC3201\Methods\Itamar\acid_sample.met"</f>
        <v>C:\TOC3201\Methods\Itamar\acid_sample.met</v>
      </c>
      <c r="F78" t="str">
        <f>"C:\TOC3201\CalCurves\Itamar\N_cal_25ppm_acid_laurel.2019_08_21_15_23_49.cal"</f>
        <v>C:\TOC3201\CalCurves\Itamar\N_cal_25ppm_acid_laurel.2019_08_21_15_23_49.cal</v>
      </c>
      <c r="G78">
        <v>1</v>
      </c>
      <c r="H78" t="str">
        <f>""</f>
        <v/>
      </c>
      <c r="I78" t="str">
        <f>"8/21/2019 6:33:57 PM"</f>
        <v>8/21/2019 6:33:57 PM</v>
      </c>
      <c r="J78" t="str">
        <f>"1"</f>
        <v>1</v>
      </c>
      <c r="K78" t="str">
        <f>"4"</f>
        <v>4</v>
      </c>
      <c r="L78" t="str">
        <f>"TN"</f>
        <v>TN</v>
      </c>
      <c r="M78" t="str">
        <f>"1.545"</f>
        <v>1.545</v>
      </c>
      <c r="N78" t="str">
        <f>"0.5781"</f>
        <v>0.5781</v>
      </c>
      <c r="O78" t="str">
        <f>"NPOC:4.514mg/L TN:0.4797mg/L"</f>
        <v>NPOC:4.514mg/L TN:0.4797mg/L</v>
      </c>
      <c r="P78">
        <v>0</v>
      </c>
      <c r="Q78" t="str">
        <f>"80"</f>
        <v>80</v>
      </c>
    </row>
    <row r="79" spans="1:17" x14ac:dyDescent="0.2">
      <c r="A79" t="str">
        <f>"Unknown"</f>
        <v>Unknown</v>
      </c>
      <c r="B79" t="str">
        <f>"NPOC/TN"</f>
        <v>NPOC/TN</v>
      </c>
      <c r="C79" t="str">
        <f>"1106"</f>
        <v>1106</v>
      </c>
      <c r="D79" t="str">
        <f>"DI"</f>
        <v>DI</v>
      </c>
      <c r="E79" t="str">
        <f>"C:\TOC3201\Methods\Itamar\acid_sample.met"</f>
        <v>C:\TOC3201\Methods\Itamar\acid_sample.met</v>
      </c>
      <c r="F79" t="str">
        <f>"C:\TOC3201\CalCurves\Itamar\N_cal_25ppm_acid_laurel.2019_08_21_15_23_49.cal"</f>
        <v>C:\TOC3201\CalCurves\Itamar\N_cal_25ppm_acid_laurel.2019_08_21_15_23_49.cal</v>
      </c>
      <c r="G79">
        <v>1</v>
      </c>
      <c r="H79" t="str">
        <f>""</f>
        <v/>
      </c>
      <c r="I79" t="str">
        <f>"8/21/2019 6:35:56 PM"</f>
        <v>8/21/2019 6:35:56 PM</v>
      </c>
      <c r="J79" t="str">
        <f>"1"</f>
        <v>1</v>
      </c>
      <c r="K79" t="str">
        <f>"5"</f>
        <v>5</v>
      </c>
      <c r="L79" t="str">
        <f>"TN"</f>
        <v>TN</v>
      </c>
      <c r="M79" t="str">
        <f>"0.000"</f>
        <v>0.000</v>
      </c>
      <c r="N79" t="str">
        <f>"0.1544"</f>
        <v>0.1544</v>
      </c>
      <c r="O79" t="str">
        <f>"NPOC:4.514mg/L TN:0.4797mg/L"</f>
        <v>NPOC:4.514mg/L TN:0.4797mg/L</v>
      </c>
      <c r="P79">
        <v>1</v>
      </c>
      <c r="Q79" t="str">
        <f>"80"</f>
        <v>80</v>
      </c>
    </row>
    <row r="80" spans="1:17" x14ac:dyDescent="0.2">
      <c r="A80" t="str">
        <f>"Unknown"</f>
        <v>Unknown</v>
      </c>
      <c r="B80" t="str">
        <f>"NPOC/TN"</f>
        <v>NPOC/TN</v>
      </c>
      <c r="C80" t="str">
        <f>"1108"</f>
        <v>1108</v>
      </c>
      <c r="D80" t="str">
        <f>"DI"</f>
        <v>DI</v>
      </c>
      <c r="E80" t="str">
        <f>"C:\TOC3201\Methods\Itamar\acid_sample.met"</f>
        <v>C:\TOC3201\Methods\Itamar\acid_sample.met</v>
      </c>
      <c r="F80" t="str">
        <f>"C:\TOC3201\CalCurves\Itamar\C_cal_100ppm_acid_laurel.2019_08_21_13_17_46.cal"</f>
        <v>C:\TOC3201\CalCurves\Itamar\C_cal_100ppm_acid_laurel.2019_08_21_13_17_46.cal</v>
      </c>
      <c r="G80">
        <v>1</v>
      </c>
      <c r="H80" t="str">
        <f>""</f>
        <v/>
      </c>
      <c r="I80" t="str">
        <f>"8/21/2019 6:45:31 PM"</f>
        <v>8/21/2019 6:45:31 PM</v>
      </c>
      <c r="J80" t="str">
        <f>"1"</f>
        <v>1</v>
      </c>
      <c r="K80" t="str">
        <f>"1"</f>
        <v>1</v>
      </c>
      <c r="L80" t="str">
        <f>"NPOC"</f>
        <v>NPOC</v>
      </c>
      <c r="M80" t="str">
        <f>"19.38"</f>
        <v>19.38</v>
      </c>
      <c r="N80" t="str">
        <f>"3.638"</f>
        <v>3.638</v>
      </c>
      <c r="O80" t="str">
        <f>"NPOC:3.599mg/L TN:0.5131mg/L"</f>
        <v>NPOC:3.599mg/L TN:0.5131mg/L</v>
      </c>
      <c r="P80">
        <v>0</v>
      </c>
      <c r="Q80" t="str">
        <f>"80"</f>
        <v>80</v>
      </c>
    </row>
    <row r="81" spans="1:17" x14ac:dyDescent="0.2">
      <c r="A81" t="str">
        <f>"Unknown"</f>
        <v>Unknown</v>
      </c>
      <c r="B81" t="str">
        <f>"NPOC/TN"</f>
        <v>NPOC/TN</v>
      </c>
      <c r="C81" t="str">
        <f>"1108"</f>
        <v>1108</v>
      </c>
      <c r="D81" t="str">
        <f>"DI"</f>
        <v>DI</v>
      </c>
      <c r="E81" t="str">
        <f>"C:\TOC3201\Methods\Itamar\acid_sample.met"</f>
        <v>C:\TOC3201\Methods\Itamar\acid_sample.met</v>
      </c>
      <c r="F81" t="str">
        <f>"C:\TOC3201\CalCurves\Itamar\C_cal_100ppm_acid_laurel.2019_08_21_13_17_46.cal"</f>
        <v>C:\TOC3201\CalCurves\Itamar\C_cal_100ppm_acid_laurel.2019_08_21_13_17_46.cal</v>
      </c>
      <c r="G81">
        <v>1</v>
      </c>
      <c r="H81" t="str">
        <f>""</f>
        <v/>
      </c>
      <c r="I81" t="str">
        <f>"8/21/2019 6:48:41 PM"</f>
        <v>8/21/2019 6:48:41 PM</v>
      </c>
      <c r="J81" t="str">
        <f>"1"</f>
        <v>1</v>
      </c>
      <c r="K81" t="str">
        <f>"2"</f>
        <v>2</v>
      </c>
      <c r="L81" t="str">
        <f>"NPOC"</f>
        <v>NPOC</v>
      </c>
      <c r="M81" t="str">
        <f>"19.06"</f>
        <v>19.06</v>
      </c>
      <c r="N81" t="str">
        <f>"3.572"</f>
        <v>3.572</v>
      </c>
      <c r="O81" t="str">
        <f>"NPOC:3.599mg/L TN:0.5131mg/L"</f>
        <v>NPOC:3.599mg/L TN:0.5131mg/L</v>
      </c>
      <c r="P81">
        <v>0</v>
      </c>
      <c r="Q81" t="str">
        <f>"80"</f>
        <v>80</v>
      </c>
    </row>
    <row r="82" spans="1:17" x14ac:dyDescent="0.2">
      <c r="A82" t="str">
        <f>"Unknown"</f>
        <v>Unknown</v>
      </c>
      <c r="B82" t="str">
        <f>"NPOC/TN"</f>
        <v>NPOC/TN</v>
      </c>
      <c r="C82" t="str">
        <f>"1108"</f>
        <v>1108</v>
      </c>
      <c r="D82" t="str">
        <f>"DI"</f>
        <v>DI</v>
      </c>
      <c r="E82" t="str">
        <f>"C:\TOC3201\Methods\Itamar\acid_sample.met"</f>
        <v>C:\TOC3201\Methods\Itamar\acid_sample.met</v>
      </c>
      <c r="F82" t="str">
        <f>"C:\TOC3201\CalCurves\Itamar\C_cal_100ppm_acid_laurel.2019_08_21_13_17_46.cal"</f>
        <v>C:\TOC3201\CalCurves\Itamar\C_cal_100ppm_acid_laurel.2019_08_21_13_17_46.cal</v>
      </c>
      <c r="G82">
        <v>1</v>
      </c>
      <c r="H82" t="str">
        <f>""</f>
        <v/>
      </c>
      <c r="I82" t="str">
        <f>"8/21/2019 6:51:52 PM"</f>
        <v>8/21/2019 6:51:52 PM</v>
      </c>
      <c r="J82" t="str">
        <f>"1"</f>
        <v>1</v>
      </c>
      <c r="K82" t="str">
        <f>"3"</f>
        <v>3</v>
      </c>
      <c r="L82" t="str">
        <f>"NPOC"</f>
        <v>NPOC</v>
      </c>
      <c r="M82" t="str">
        <f>"20.23"</f>
        <v>20.23</v>
      </c>
      <c r="N82" t="str">
        <f>"3.811"</f>
        <v>3.811</v>
      </c>
      <c r="O82" t="str">
        <f>"NPOC:3.599mg/L TN:0.5131mg/L"</f>
        <v>NPOC:3.599mg/L TN:0.5131mg/L</v>
      </c>
      <c r="P82">
        <v>1</v>
      </c>
      <c r="Q82" t="str">
        <f>"80"</f>
        <v>80</v>
      </c>
    </row>
    <row r="83" spans="1:17" x14ac:dyDescent="0.2">
      <c r="A83" t="str">
        <f>"Unknown"</f>
        <v>Unknown</v>
      </c>
      <c r="B83" t="str">
        <f>"NPOC/TN"</f>
        <v>NPOC/TN</v>
      </c>
      <c r="C83" t="str">
        <f>"1108"</f>
        <v>1108</v>
      </c>
      <c r="D83" t="str">
        <f>"DI"</f>
        <v>DI</v>
      </c>
      <c r="E83" t="str">
        <f>"C:\TOC3201\Methods\Itamar\acid_sample.met"</f>
        <v>C:\TOC3201\Methods\Itamar\acid_sample.met</v>
      </c>
      <c r="F83" t="str">
        <f>"C:\TOC3201\CalCurves\Itamar\C_cal_100ppm_acid_laurel.2019_08_21_13_17_46.cal"</f>
        <v>C:\TOC3201\CalCurves\Itamar\C_cal_100ppm_acid_laurel.2019_08_21_13_17_46.cal</v>
      </c>
      <c r="G83">
        <v>1</v>
      </c>
      <c r="H83" t="str">
        <f>""</f>
        <v/>
      </c>
      <c r="I83" t="str">
        <f>"8/21/2019 6:55:05 PM"</f>
        <v>8/21/2019 6:55:05 PM</v>
      </c>
      <c r="J83" t="str">
        <f>"1"</f>
        <v>1</v>
      </c>
      <c r="K83" t="str">
        <f>"4"</f>
        <v>4</v>
      </c>
      <c r="L83" t="str">
        <f>"NPOC"</f>
        <v>NPOC</v>
      </c>
      <c r="M83" t="str">
        <f>"20.00"</f>
        <v>20.00</v>
      </c>
      <c r="N83" t="str">
        <f>"3.764"</f>
        <v>3.764</v>
      </c>
      <c r="O83" t="str">
        <f>"NPOC:3.599mg/L TN:0.5131mg/L"</f>
        <v>NPOC:3.599mg/L TN:0.5131mg/L</v>
      </c>
      <c r="P83">
        <v>1</v>
      </c>
      <c r="Q83" t="str">
        <f>"80"</f>
        <v>80</v>
      </c>
    </row>
    <row r="84" spans="1:17" x14ac:dyDescent="0.2">
      <c r="A84" t="str">
        <f>"Unknown"</f>
        <v>Unknown</v>
      </c>
      <c r="B84" t="str">
        <f>"NPOC/TN"</f>
        <v>NPOC/TN</v>
      </c>
      <c r="C84" t="str">
        <f>"1108"</f>
        <v>1108</v>
      </c>
      <c r="D84" t="str">
        <f>"DI"</f>
        <v>DI</v>
      </c>
      <c r="E84" t="str">
        <f>"C:\TOC3201\Methods\Itamar\acid_sample.met"</f>
        <v>C:\TOC3201\Methods\Itamar\acid_sample.met</v>
      </c>
      <c r="F84" t="str">
        <f>"C:\TOC3201\CalCurves\Itamar\C_cal_100ppm_acid_laurel.2019_08_21_13_17_46.cal"</f>
        <v>C:\TOC3201\CalCurves\Itamar\C_cal_100ppm_acid_laurel.2019_08_21_13_17_46.cal</v>
      </c>
      <c r="G84">
        <v>1</v>
      </c>
      <c r="H84" t="str">
        <f>""</f>
        <v/>
      </c>
      <c r="I84" t="str">
        <f>"8/21/2019 6:58:10 PM"</f>
        <v>8/21/2019 6:58:10 PM</v>
      </c>
      <c r="J84" t="str">
        <f>"1"</f>
        <v>1</v>
      </c>
      <c r="K84" t="str">
        <f>"5"</f>
        <v>5</v>
      </c>
      <c r="L84" t="str">
        <f>"NPOC"</f>
        <v>NPOC</v>
      </c>
      <c r="M84" t="str">
        <f>"19.13"</f>
        <v>19.13</v>
      </c>
      <c r="N84" t="str">
        <f>"3.586"</f>
        <v>3.586</v>
      </c>
      <c r="O84" t="str">
        <f>"NPOC:3.599mg/L TN:0.5131mg/L"</f>
        <v>NPOC:3.599mg/L TN:0.5131mg/L</v>
      </c>
      <c r="P84">
        <v>0</v>
      </c>
      <c r="Q84" t="str">
        <f>"80"</f>
        <v>80</v>
      </c>
    </row>
    <row r="85" spans="1:17" x14ac:dyDescent="0.2">
      <c r="A85" t="str">
        <f>"Unknown"</f>
        <v>Unknown</v>
      </c>
      <c r="B85" t="str">
        <f>"NPOC/TN"</f>
        <v>NPOC/TN</v>
      </c>
      <c r="C85" t="str">
        <f>"1108"</f>
        <v>1108</v>
      </c>
      <c r="D85" t="str">
        <f>"DI"</f>
        <v>DI</v>
      </c>
      <c r="E85" t="str">
        <f>"C:\TOC3201\Methods\Itamar\acid_sample.met"</f>
        <v>C:\TOC3201\Methods\Itamar\acid_sample.met</v>
      </c>
      <c r="F85" t="str">
        <f>"C:\TOC3201\CalCurves\Itamar\N_cal_25ppm_acid_laurel.2019_08_21_15_23_49.cal"</f>
        <v>C:\TOC3201\CalCurves\Itamar\N_cal_25ppm_acid_laurel.2019_08_21_15_23_49.cal</v>
      </c>
      <c r="G85">
        <v>1</v>
      </c>
      <c r="H85" t="str">
        <f>""</f>
        <v/>
      </c>
      <c r="I85" t="str">
        <f>"8/21/2019 6:45:31 PM"</f>
        <v>8/21/2019 6:45:31 PM</v>
      </c>
      <c r="J85" t="str">
        <f>"1"</f>
        <v>1</v>
      </c>
      <c r="K85" t="str">
        <f>"1"</f>
        <v>1</v>
      </c>
      <c r="L85" t="str">
        <f>"TN"</f>
        <v>TN</v>
      </c>
      <c r="M85" t="str">
        <f>"0.000"</f>
        <v>0.000</v>
      </c>
      <c r="N85" t="str">
        <f>"0.1544"</f>
        <v>0.1544</v>
      </c>
      <c r="O85" t="str">
        <f>"NPOC:3.599mg/L TN:0.5131mg/L"</f>
        <v>NPOC:3.599mg/L TN:0.5131mg/L</v>
      </c>
      <c r="P85">
        <v>1</v>
      </c>
      <c r="Q85" t="str">
        <f>"80"</f>
        <v>80</v>
      </c>
    </row>
    <row r="86" spans="1:17" x14ac:dyDescent="0.2">
      <c r="A86" t="str">
        <f>"Unknown"</f>
        <v>Unknown</v>
      </c>
      <c r="B86" t="str">
        <f>"NPOC/TN"</f>
        <v>NPOC/TN</v>
      </c>
      <c r="C86" t="str">
        <f>"1108"</f>
        <v>1108</v>
      </c>
      <c r="D86" t="str">
        <f>"DI"</f>
        <v>DI</v>
      </c>
      <c r="E86" t="str">
        <f>"C:\TOC3201\Methods\Itamar\acid_sample.met"</f>
        <v>C:\TOC3201\Methods\Itamar\acid_sample.met</v>
      </c>
      <c r="F86" t="str">
        <f>"C:\TOC3201\CalCurves\Itamar\N_cal_25ppm_acid_laurel.2019_08_21_15_23_49.cal"</f>
        <v>C:\TOC3201\CalCurves\Itamar\N_cal_25ppm_acid_laurel.2019_08_21_15_23_49.cal</v>
      </c>
      <c r="G86">
        <v>1</v>
      </c>
      <c r="H86" t="str">
        <f>""</f>
        <v/>
      </c>
      <c r="I86" t="str">
        <f>"8/21/2019 6:48:41 PM"</f>
        <v>8/21/2019 6:48:41 PM</v>
      </c>
      <c r="J86" t="str">
        <f>"1"</f>
        <v>1</v>
      </c>
      <c r="K86" t="str">
        <f>"2"</f>
        <v>2</v>
      </c>
      <c r="L86" t="str">
        <f>"TN"</f>
        <v>TN</v>
      </c>
      <c r="M86" t="str">
        <f>"1.198"</f>
        <v>1.198</v>
      </c>
      <c r="N86" t="str">
        <f>"0.4830"</f>
        <v>0.4830</v>
      </c>
      <c r="O86" t="str">
        <f>"NPOC:3.599mg/L TN:0.5131mg/L"</f>
        <v>NPOC:3.599mg/L TN:0.5131mg/L</v>
      </c>
      <c r="P86">
        <v>0</v>
      </c>
      <c r="Q86" t="str">
        <f>"80"</f>
        <v>80</v>
      </c>
    </row>
    <row r="87" spans="1:17" x14ac:dyDescent="0.2">
      <c r="A87" t="str">
        <f>"Unknown"</f>
        <v>Unknown</v>
      </c>
      <c r="B87" t="str">
        <f>"NPOC/TN"</f>
        <v>NPOC/TN</v>
      </c>
      <c r="C87" t="str">
        <f>"1108"</f>
        <v>1108</v>
      </c>
      <c r="D87" t="str">
        <f>"DI"</f>
        <v>DI</v>
      </c>
      <c r="E87" t="str">
        <f>"C:\TOC3201\Methods\Itamar\acid_sample.met"</f>
        <v>C:\TOC3201\Methods\Itamar\acid_sample.met</v>
      </c>
      <c r="F87" t="str">
        <f>"C:\TOC3201\CalCurves\Itamar\N_cal_25ppm_acid_laurel.2019_08_21_15_23_49.cal"</f>
        <v>C:\TOC3201\CalCurves\Itamar\N_cal_25ppm_acid_laurel.2019_08_21_15_23_49.cal</v>
      </c>
      <c r="G87">
        <v>1</v>
      </c>
      <c r="H87" t="str">
        <f>""</f>
        <v/>
      </c>
      <c r="I87" t="str">
        <f>"8/21/2019 6:51:52 PM"</f>
        <v>8/21/2019 6:51:52 PM</v>
      </c>
      <c r="J87" t="str">
        <f>"1"</f>
        <v>1</v>
      </c>
      <c r="K87" t="str">
        <f>"3"</f>
        <v>3</v>
      </c>
      <c r="L87" t="str">
        <f>"TN"</f>
        <v>TN</v>
      </c>
      <c r="M87" t="str">
        <f>"0.7847"</f>
        <v>0.7847</v>
      </c>
      <c r="N87" t="str">
        <f>"0.3696"</f>
        <v>0.3696</v>
      </c>
      <c r="O87" t="str">
        <f>"NPOC:3.599mg/L TN:0.5131mg/L"</f>
        <v>NPOC:3.599mg/L TN:0.5131mg/L</v>
      </c>
      <c r="P87">
        <v>1</v>
      </c>
      <c r="Q87" t="str">
        <f>"80"</f>
        <v>80</v>
      </c>
    </row>
    <row r="88" spans="1:17" x14ac:dyDescent="0.2">
      <c r="A88" t="str">
        <f>"Unknown"</f>
        <v>Unknown</v>
      </c>
      <c r="B88" t="str">
        <f>"NPOC/TN"</f>
        <v>NPOC/TN</v>
      </c>
      <c r="C88" t="str">
        <f>"1108"</f>
        <v>1108</v>
      </c>
      <c r="D88" t="str">
        <f>"DI"</f>
        <v>DI</v>
      </c>
      <c r="E88" t="str">
        <f>"C:\TOC3201\Methods\Itamar\acid_sample.met"</f>
        <v>C:\TOC3201\Methods\Itamar\acid_sample.met</v>
      </c>
      <c r="F88" t="str">
        <f>"C:\TOC3201\CalCurves\Itamar\N_cal_25ppm_acid_laurel.2019_08_21_15_23_49.cal"</f>
        <v>C:\TOC3201\CalCurves\Itamar\N_cal_25ppm_acid_laurel.2019_08_21_15_23_49.cal</v>
      </c>
      <c r="G88">
        <v>1</v>
      </c>
      <c r="H88" t="str">
        <f>""</f>
        <v/>
      </c>
      <c r="I88" t="str">
        <f>"8/21/2019 6:55:05 PM"</f>
        <v>8/21/2019 6:55:05 PM</v>
      </c>
      <c r="J88" t="str">
        <f>"1"</f>
        <v>1</v>
      </c>
      <c r="K88" t="str">
        <f>"4"</f>
        <v>4</v>
      </c>
      <c r="L88" t="str">
        <f>"TN"</f>
        <v>TN</v>
      </c>
      <c r="M88" t="str">
        <f>"1.347"</f>
        <v>1.347</v>
      </c>
      <c r="N88" t="str">
        <f>"0.5238"</f>
        <v>0.5238</v>
      </c>
      <c r="O88" t="str">
        <f>"NPOC:3.599mg/L TN:0.5131mg/L"</f>
        <v>NPOC:3.599mg/L TN:0.5131mg/L</v>
      </c>
      <c r="P88">
        <v>0</v>
      </c>
      <c r="Q88" t="str">
        <f>"80"</f>
        <v>80</v>
      </c>
    </row>
    <row r="89" spans="1:17" x14ac:dyDescent="0.2">
      <c r="A89" t="str">
        <f>"Unknown"</f>
        <v>Unknown</v>
      </c>
      <c r="B89" t="str">
        <f>"NPOC/TN"</f>
        <v>NPOC/TN</v>
      </c>
      <c r="C89" t="str">
        <f>"1108"</f>
        <v>1108</v>
      </c>
      <c r="D89" t="str">
        <f>"DI"</f>
        <v>DI</v>
      </c>
      <c r="E89" t="str">
        <f>"C:\TOC3201\Methods\Itamar\acid_sample.met"</f>
        <v>C:\TOC3201\Methods\Itamar\acid_sample.met</v>
      </c>
      <c r="F89" t="str">
        <f>"C:\TOC3201\CalCurves\Itamar\N_cal_25ppm_acid_laurel.2019_08_21_15_23_49.cal"</f>
        <v>C:\TOC3201\CalCurves\Itamar\N_cal_25ppm_acid_laurel.2019_08_21_15_23_49.cal</v>
      </c>
      <c r="G89">
        <v>1</v>
      </c>
      <c r="H89" t="str">
        <f>""</f>
        <v/>
      </c>
      <c r="I89" t="str">
        <f>"8/21/2019 6:58:10 PM"</f>
        <v>8/21/2019 6:58:10 PM</v>
      </c>
      <c r="J89" t="str">
        <f>"1"</f>
        <v>1</v>
      </c>
      <c r="K89" t="str">
        <f>"5"</f>
        <v>5</v>
      </c>
      <c r="L89" t="str">
        <f>"TN"</f>
        <v>TN</v>
      </c>
      <c r="M89" t="str">
        <f>"1.379"</f>
        <v>1.379</v>
      </c>
      <c r="N89" t="str">
        <f>"0.5326"</f>
        <v>0.5326</v>
      </c>
      <c r="O89" t="str">
        <f>"NPOC:3.599mg/L TN:0.5131mg/L"</f>
        <v>NPOC:3.599mg/L TN:0.5131mg/L</v>
      </c>
      <c r="P89">
        <v>0</v>
      </c>
      <c r="Q89" t="str">
        <f>"80"</f>
        <v>80</v>
      </c>
    </row>
    <row r="90" spans="1:17" x14ac:dyDescent="0.2">
      <c r="A90" t="str">
        <f>"Unknown"</f>
        <v>Unknown</v>
      </c>
      <c r="B90" t="str">
        <f>"NPOC/TN"</f>
        <v>NPOC/TN</v>
      </c>
      <c r="C90" t="str">
        <f>"1110"</f>
        <v>1110</v>
      </c>
      <c r="D90" t="str">
        <f>"DI"</f>
        <v>DI</v>
      </c>
      <c r="E90" t="str">
        <f>"C:\TOC3201\Methods\Itamar\acid_sample.met"</f>
        <v>C:\TOC3201\Methods\Itamar\acid_sample.met</v>
      </c>
      <c r="F90" t="str">
        <f>"C:\TOC3201\CalCurves\Itamar\C_cal_100ppm_acid_laurel.2019_08_21_13_17_46.cal"</f>
        <v>C:\TOC3201\CalCurves\Itamar\C_cal_100ppm_acid_laurel.2019_08_21_13_17_46.cal</v>
      </c>
      <c r="G90">
        <v>1</v>
      </c>
      <c r="H90" t="str">
        <f>""</f>
        <v/>
      </c>
      <c r="I90" t="str">
        <f>"8/21/2019 7:08:07 PM"</f>
        <v>8/21/2019 7:08:07 PM</v>
      </c>
      <c r="J90" t="str">
        <f>"1"</f>
        <v>1</v>
      </c>
      <c r="K90" t="str">
        <f>"1"</f>
        <v>1</v>
      </c>
      <c r="L90" t="str">
        <f>"NPOC"</f>
        <v>NPOC</v>
      </c>
      <c r="M90" t="str">
        <f>"21.84"</f>
        <v>21.84</v>
      </c>
      <c r="N90" t="str">
        <f>"4.140"</f>
        <v>4.140</v>
      </c>
      <c r="O90" t="str">
        <f>"NPOC:3.758mg/L TN:0.3822mg/L"</f>
        <v>NPOC:3.758mg/L TN:0.3822mg/L</v>
      </c>
      <c r="P90">
        <v>1</v>
      </c>
      <c r="Q90" t="str">
        <f>"80"</f>
        <v>80</v>
      </c>
    </row>
    <row r="91" spans="1:17" x14ac:dyDescent="0.2">
      <c r="A91" t="str">
        <f>"Unknown"</f>
        <v>Unknown</v>
      </c>
      <c r="B91" t="str">
        <f>"NPOC/TN"</f>
        <v>NPOC/TN</v>
      </c>
      <c r="C91" t="str">
        <f>"1110"</f>
        <v>1110</v>
      </c>
      <c r="D91" t="str">
        <f>"DI"</f>
        <v>DI</v>
      </c>
      <c r="E91" t="str">
        <f>"C:\TOC3201\Methods\Itamar\acid_sample.met"</f>
        <v>C:\TOC3201\Methods\Itamar\acid_sample.met</v>
      </c>
      <c r="F91" t="str">
        <f>"C:\TOC3201\CalCurves\Itamar\C_cal_100ppm_acid_laurel.2019_08_21_13_17_46.cal"</f>
        <v>C:\TOC3201\CalCurves\Itamar\C_cal_100ppm_acid_laurel.2019_08_21_13_17_46.cal</v>
      </c>
      <c r="G91">
        <v>1</v>
      </c>
      <c r="H91" t="str">
        <f>""</f>
        <v/>
      </c>
      <c r="I91" t="str">
        <f>"8/21/2019 7:11:18 PM"</f>
        <v>8/21/2019 7:11:18 PM</v>
      </c>
      <c r="J91" t="str">
        <f>"1"</f>
        <v>1</v>
      </c>
      <c r="K91" t="str">
        <f>"2"</f>
        <v>2</v>
      </c>
      <c r="L91" t="str">
        <f>"NPOC"</f>
        <v>NPOC</v>
      </c>
      <c r="M91" t="str">
        <f>"18.75"</f>
        <v>18.75</v>
      </c>
      <c r="N91" t="str">
        <f>"3.509"</f>
        <v>3.509</v>
      </c>
      <c r="O91" t="str">
        <f>"NPOC:3.758mg/L TN:0.3822mg/L"</f>
        <v>NPOC:3.758mg/L TN:0.3822mg/L</v>
      </c>
      <c r="P91">
        <v>1</v>
      </c>
      <c r="Q91" t="str">
        <f>"80"</f>
        <v>80</v>
      </c>
    </row>
    <row r="92" spans="1:17" x14ac:dyDescent="0.2">
      <c r="A92" t="str">
        <f>"Unknown"</f>
        <v>Unknown</v>
      </c>
      <c r="B92" t="str">
        <f>"NPOC/TN"</f>
        <v>NPOC/TN</v>
      </c>
      <c r="C92" t="str">
        <f>"1110"</f>
        <v>1110</v>
      </c>
      <c r="D92" t="str">
        <f>"DI"</f>
        <v>DI</v>
      </c>
      <c r="E92" t="str">
        <f>"C:\TOC3201\Methods\Itamar\acid_sample.met"</f>
        <v>C:\TOC3201\Methods\Itamar\acid_sample.met</v>
      </c>
      <c r="F92" t="str">
        <f>"C:\TOC3201\CalCurves\Itamar\C_cal_100ppm_acid_laurel.2019_08_21_13_17_46.cal"</f>
        <v>C:\TOC3201\CalCurves\Itamar\C_cal_100ppm_acid_laurel.2019_08_21_13_17_46.cal</v>
      </c>
      <c r="G92">
        <v>1</v>
      </c>
      <c r="H92" t="str">
        <f>""</f>
        <v/>
      </c>
      <c r="I92" t="str">
        <f>"8/21/2019 7:14:41 PM"</f>
        <v>8/21/2019 7:14:41 PM</v>
      </c>
      <c r="J92" t="str">
        <f>"1"</f>
        <v>1</v>
      </c>
      <c r="K92" t="str">
        <f>"3"</f>
        <v>3</v>
      </c>
      <c r="L92" t="str">
        <f>"NPOC"</f>
        <v>NPOC</v>
      </c>
      <c r="M92" t="str">
        <f>"20.33"</f>
        <v>20.33</v>
      </c>
      <c r="N92" t="str">
        <f>"3.832"</f>
        <v>3.832</v>
      </c>
      <c r="O92" t="str">
        <f>"NPOC:3.758mg/L TN:0.3822mg/L"</f>
        <v>NPOC:3.758mg/L TN:0.3822mg/L</v>
      </c>
      <c r="P92">
        <v>0</v>
      </c>
      <c r="Q92" t="str">
        <f>"80"</f>
        <v>80</v>
      </c>
    </row>
    <row r="93" spans="1:17" x14ac:dyDescent="0.2">
      <c r="A93" t="str">
        <f>"Unknown"</f>
        <v>Unknown</v>
      </c>
      <c r="B93" t="str">
        <f>"NPOC/TN"</f>
        <v>NPOC/TN</v>
      </c>
      <c r="C93" t="str">
        <f>"1110"</f>
        <v>1110</v>
      </c>
      <c r="D93" t="str">
        <f>"DI"</f>
        <v>DI</v>
      </c>
      <c r="E93" t="str">
        <f>"C:\TOC3201\Methods\Itamar\acid_sample.met"</f>
        <v>C:\TOC3201\Methods\Itamar\acid_sample.met</v>
      </c>
      <c r="F93" t="str">
        <f>"C:\TOC3201\CalCurves\Itamar\C_cal_100ppm_acid_laurel.2019_08_21_13_17_46.cal"</f>
        <v>C:\TOC3201\CalCurves\Itamar\C_cal_100ppm_acid_laurel.2019_08_21_13_17_46.cal</v>
      </c>
      <c r="G93">
        <v>1</v>
      </c>
      <c r="H93" t="str">
        <f>""</f>
        <v/>
      </c>
      <c r="I93" t="str">
        <f>"8/21/2019 7:17:51 PM"</f>
        <v>8/21/2019 7:17:51 PM</v>
      </c>
      <c r="J93" t="str">
        <f>"1"</f>
        <v>1</v>
      </c>
      <c r="K93" t="str">
        <f>"4"</f>
        <v>4</v>
      </c>
      <c r="L93" t="str">
        <f>"NPOC"</f>
        <v>NPOC</v>
      </c>
      <c r="M93" t="str">
        <f>"20.07"</f>
        <v>20.07</v>
      </c>
      <c r="N93" t="str">
        <f>"3.779"</f>
        <v>3.779</v>
      </c>
      <c r="O93" t="str">
        <f>"NPOC:3.758mg/L TN:0.3822mg/L"</f>
        <v>NPOC:3.758mg/L TN:0.3822mg/L</v>
      </c>
      <c r="P93">
        <v>0</v>
      </c>
      <c r="Q93" t="str">
        <f>"80"</f>
        <v>80</v>
      </c>
    </row>
    <row r="94" spans="1:17" x14ac:dyDescent="0.2">
      <c r="A94" t="str">
        <f>"Unknown"</f>
        <v>Unknown</v>
      </c>
      <c r="B94" t="str">
        <f>"NPOC/TN"</f>
        <v>NPOC/TN</v>
      </c>
      <c r="C94" t="str">
        <f>"1110"</f>
        <v>1110</v>
      </c>
      <c r="D94" t="str">
        <f>"DI"</f>
        <v>DI</v>
      </c>
      <c r="E94" t="str">
        <f>"C:\TOC3201\Methods\Itamar\acid_sample.met"</f>
        <v>C:\TOC3201\Methods\Itamar\acid_sample.met</v>
      </c>
      <c r="F94" t="str">
        <f>"C:\TOC3201\CalCurves\Itamar\C_cal_100ppm_acid_laurel.2019_08_21_13_17_46.cal"</f>
        <v>C:\TOC3201\CalCurves\Itamar\C_cal_100ppm_acid_laurel.2019_08_21_13_17_46.cal</v>
      </c>
      <c r="G94">
        <v>1</v>
      </c>
      <c r="H94" t="str">
        <f>""</f>
        <v/>
      </c>
      <c r="I94" t="str">
        <f>"8/21/2019 7:21:03 PM"</f>
        <v>8/21/2019 7:21:03 PM</v>
      </c>
      <c r="J94" t="str">
        <f>"1"</f>
        <v>1</v>
      </c>
      <c r="K94" t="str">
        <f>"5"</f>
        <v>5</v>
      </c>
      <c r="L94" t="str">
        <f>"NPOC"</f>
        <v>NPOC</v>
      </c>
      <c r="M94" t="str">
        <f>"19.51"</f>
        <v>19.51</v>
      </c>
      <c r="N94" t="str">
        <f>"3.664"</f>
        <v>3.664</v>
      </c>
      <c r="O94" t="str">
        <f>"NPOC:3.758mg/L TN:0.3822mg/L"</f>
        <v>NPOC:3.758mg/L TN:0.3822mg/L</v>
      </c>
      <c r="P94">
        <v>0</v>
      </c>
      <c r="Q94" t="str">
        <f>"80"</f>
        <v>80</v>
      </c>
    </row>
    <row r="95" spans="1:17" x14ac:dyDescent="0.2">
      <c r="A95" t="str">
        <f>"Unknown"</f>
        <v>Unknown</v>
      </c>
      <c r="B95" t="str">
        <f>"NPOC/TN"</f>
        <v>NPOC/TN</v>
      </c>
      <c r="C95" t="str">
        <f>"1110"</f>
        <v>1110</v>
      </c>
      <c r="D95" t="str">
        <f>"DI"</f>
        <v>DI</v>
      </c>
      <c r="E95" t="str">
        <f>"C:\TOC3201\Methods\Itamar\acid_sample.met"</f>
        <v>C:\TOC3201\Methods\Itamar\acid_sample.met</v>
      </c>
      <c r="F95" t="str">
        <f>"C:\TOC3201\CalCurves\Itamar\N_cal_25ppm_acid_laurel.2019_08_21_15_23_49.cal"</f>
        <v>C:\TOC3201\CalCurves\Itamar\N_cal_25ppm_acid_laurel.2019_08_21_15_23_49.cal</v>
      </c>
      <c r="G95">
        <v>1</v>
      </c>
      <c r="H95" t="str">
        <f>""</f>
        <v/>
      </c>
      <c r="I95" t="str">
        <f>"8/21/2019 7:08:07 PM"</f>
        <v>8/21/2019 7:08:07 PM</v>
      </c>
      <c r="J95" t="str">
        <f>"1"</f>
        <v>1</v>
      </c>
      <c r="K95" t="str">
        <f>"1"</f>
        <v>1</v>
      </c>
      <c r="L95" t="str">
        <f>"TN"</f>
        <v>TN</v>
      </c>
      <c r="M95" t="str">
        <f>"0.7332"</f>
        <v>0.7332</v>
      </c>
      <c r="N95" t="str">
        <f>"0.3555"</f>
        <v>0.3555</v>
      </c>
      <c r="O95" t="str">
        <f>"NPOC:3.758mg/L TN:0.3822mg/L"</f>
        <v>NPOC:3.758mg/L TN:0.3822mg/L</v>
      </c>
      <c r="P95">
        <v>0</v>
      </c>
      <c r="Q95" t="str">
        <f>"80"</f>
        <v>80</v>
      </c>
    </row>
    <row r="96" spans="1:17" x14ac:dyDescent="0.2">
      <c r="A96" t="str">
        <f>"Unknown"</f>
        <v>Unknown</v>
      </c>
      <c r="B96" t="str">
        <f>"NPOC/TN"</f>
        <v>NPOC/TN</v>
      </c>
      <c r="C96" t="str">
        <f>"1110"</f>
        <v>1110</v>
      </c>
      <c r="D96" t="str">
        <f>"DI"</f>
        <v>DI</v>
      </c>
      <c r="E96" t="str">
        <f>"C:\TOC3201\Methods\Itamar\acid_sample.met"</f>
        <v>C:\TOC3201\Methods\Itamar\acid_sample.met</v>
      </c>
      <c r="F96" t="str">
        <f>"C:\TOC3201\CalCurves\Itamar\N_cal_25ppm_acid_laurel.2019_08_21_15_23_49.cal"</f>
        <v>C:\TOC3201\CalCurves\Itamar\N_cal_25ppm_acid_laurel.2019_08_21_15_23_49.cal</v>
      </c>
      <c r="G96">
        <v>1</v>
      </c>
      <c r="H96" t="str">
        <f>""</f>
        <v/>
      </c>
      <c r="I96" t="str">
        <f>"8/21/2019 7:11:18 PM"</f>
        <v>8/21/2019 7:11:18 PM</v>
      </c>
      <c r="J96" t="str">
        <f>"1"</f>
        <v>1</v>
      </c>
      <c r="K96" t="str">
        <f>"2"</f>
        <v>2</v>
      </c>
      <c r="L96" t="str">
        <f>"TN"</f>
        <v>TN</v>
      </c>
      <c r="M96" t="str">
        <f>"0.9852"</f>
        <v>0.9852</v>
      </c>
      <c r="N96" t="str">
        <f>"0.4246"</f>
        <v>0.4246</v>
      </c>
      <c r="O96" t="str">
        <f>"NPOC:3.758mg/L TN:0.3822mg/L"</f>
        <v>NPOC:3.758mg/L TN:0.3822mg/L</v>
      </c>
      <c r="P96">
        <v>0</v>
      </c>
      <c r="Q96" t="str">
        <f>"80"</f>
        <v>80</v>
      </c>
    </row>
    <row r="97" spans="1:17" x14ac:dyDescent="0.2">
      <c r="A97" t="str">
        <f>"Unknown"</f>
        <v>Unknown</v>
      </c>
      <c r="B97" t="str">
        <f>"NPOC/TN"</f>
        <v>NPOC/TN</v>
      </c>
      <c r="C97" t="str">
        <f>"1110"</f>
        <v>1110</v>
      </c>
      <c r="D97" t="str">
        <f>"DI"</f>
        <v>DI</v>
      </c>
      <c r="E97" t="str">
        <f>"C:\TOC3201\Methods\Itamar\acid_sample.met"</f>
        <v>C:\TOC3201\Methods\Itamar\acid_sample.met</v>
      </c>
      <c r="F97" t="str">
        <f>"C:\TOC3201\CalCurves\Itamar\N_cal_25ppm_acid_laurel.2019_08_21_15_23_49.cal"</f>
        <v>C:\TOC3201\CalCurves\Itamar\N_cal_25ppm_acid_laurel.2019_08_21_15_23_49.cal</v>
      </c>
      <c r="G97">
        <v>1</v>
      </c>
      <c r="H97" t="str">
        <f>""</f>
        <v/>
      </c>
      <c r="I97" t="str">
        <f>"8/21/2019 7:14:41 PM"</f>
        <v>8/21/2019 7:14:41 PM</v>
      </c>
      <c r="J97" t="str">
        <f>"1"</f>
        <v>1</v>
      </c>
      <c r="K97" t="str">
        <f>"3"</f>
        <v>3</v>
      </c>
      <c r="L97" t="str">
        <f>"TN"</f>
        <v>TN</v>
      </c>
      <c r="M97" t="str">
        <f>"0.7730"</f>
        <v>0.7730</v>
      </c>
      <c r="N97" t="str">
        <f>"0.3664"</f>
        <v>0.3664</v>
      </c>
      <c r="O97" t="str">
        <f>"NPOC:3.758mg/L TN:0.3822mg/L"</f>
        <v>NPOC:3.758mg/L TN:0.3822mg/L</v>
      </c>
      <c r="P97">
        <v>0</v>
      </c>
      <c r="Q97" t="str">
        <f>"80"</f>
        <v>80</v>
      </c>
    </row>
    <row r="98" spans="1:17" x14ac:dyDescent="0.2">
      <c r="A98" t="str">
        <f>"Unknown"</f>
        <v>Unknown</v>
      </c>
      <c r="B98" t="str">
        <f>"NPOC/TN"</f>
        <v>NPOC/TN</v>
      </c>
      <c r="C98" t="str">
        <f>"1110"</f>
        <v>1110</v>
      </c>
      <c r="D98" t="str">
        <f>"DI"</f>
        <v>DI</v>
      </c>
      <c r="E98" t="str">
        <f>"C:\TOC3201\Methods\Itamar\acid_sample.met"</f>
        <v>C:\TOC3201\Methods\Itamar\acid_sample.met</v>
      </c>
      <c r="F98" t="str">
        <f>"C:\TOC3201\CalCurves\Itamar\N_cal_25ppm_acid_laurel.2019_08_21_15_23_49.cal"</f>
        <v>C:\TOC3201\CalCurves\Itamar\N_cal_25ppm_acid_laurel.2019_08_21_15_23_49.cal</v>
      </c>
      <c r="G98">
        <v>1</v>
      </c>
      <c r="H98" t="str">
        <f>""</f>
        <v/>
      </c>
      <c r="I98" t="str">
        <f>"8/21/2019 7:17:51 PM"</f>
        <v>8/21/2019 7:17:51 PM</v>
      </c>
      <c r="J98" t="str">
        <f>"1"</f>
        <v>1</v>
      </c>
      <c r="K98" t="str">
        <f>"4"</f>
        <v>4</v>
      </c>
      <c r="L98" t="str">
        <f>"TN"</f>
        <v>TN</v>
      </c>
      <c r="M98" t="str">
        <f>"0.000"</f>
        <v>0.000</v>
      </c>
      <c r="N98" t="str">
        <f>"0.1544"</f>
        <v>0.1544</v>
      </c>
      <c r="O98" t="str">
        <f>"NPOC:3.758mg/L TN:0.3822mg/L"</f>
        <v>NPOC:3.758mg/L TN:0.3822mg/L</v>
      </c>
      <c r="P98">
        <v>1</v>
      </c>
      <c r="Q98" t="str">
        <f>"80"</f>
        <v>80</v>
      </c>
    </row>
    <row r="99" spans="1:17" x14ac:dyDescent="0.2">
      <c r="A99" t="str">
        <f>"Unknown"</f>
        <v>Unknown</v>
      </c>
      <c r="B99" t="str">
        <f>"NPOC/TN"</f>
        <v>NPOC/TN</v>
      </c>
      <c r="C99" t="str">
        <f>"1110"</f>
        <v>1110</v>
      </c>
      <c r="D99" t="str">
        <f>"DI"</f>
        <v>DI</v>
      </c>
      <c r="E99" t="str">
        <f>"C:\TOC3201\Methods\Itamar\acid_sample.met"</f>
        <v>C:\TOC3201\Methods\Itamar\acid_sample.met</v>
      </c>
      <c r="F99" t="str">
        <f>"C:\TOC3201\CalCurves\Itamar\N_cal_25ppm_acid_laurel.2019_08_21_15_23_49.cal"</f>
        <v>C:\TOC3201\CalCurves\Itamar\N_cal_25ppm_acid_laurel.2019_08_21_15_23_49.cal</v>
      </c>
      <c r="G99">
        <v>1</v>
      </c>
      <c r="H99" t="str">
        <f>""</f>
        <v/>
      </c>
      <c r="I99" t="str">
        <f>"8/21/2019 7:21:03 PM"</f>
        <v>8/21/2019 7:21:03 PM</v>
      </c>
      <c r="J99" t="str">
        <f>"1"</f>
        <v>1</v>
      </c>
      <c r="K99" t="str">
        <f>"5"</f>
        <v>5</v>
      </c>
      <c r="L99" t="str">
        <f>"TN"</f>
        <v>TN</v>
      </c>
      <c r="M99" t="str">
        <f>"1.181"</f>
        <v>1.181</v>
      </c>
      <c r="N99" t="str">
        <f>"0.4783"</f>
        <v>0.4783</v>
      </c>
      <c r="O99" t="str">
        <f>"NPOC:3.758mg/L TN:0.3822mg/L"</f>
        <v>NPOC:3.758mg/L TN:0.3822mg/L</v>
      </c>
      <c r="P99">
        <v>1</v>
      </c>
      <c r="Q99" t="str">
        <f>"80"</f>
        <v>80</v>
      </c>
    </row>
    <row r="100" spans="1:17" x14ac:dyDescent="0.2">
      <c r="A100" t="str">
        <f>"Unknown"</f>
        <v>Unknown</v>
      </c>
      <c r="B100" t="str">
        <f>"NPOC/TN"</f>
        <v>NPOC/TN</v>
      </c>
      <c r="C100" t="str">
        <f>"1112"</f>
        <v>1112</v>
      </c>
      <c r="D100" t="str">
        <f>"DI"</f>
        <v>DI</v>
      </c>
      <c r="E100" t="str">
        <f>"C:\TOC3201\Methods\Itamar\acid_sample.met"</f>
        <v>C:\TOC3201\Methods\Itamar\acid_sample.met</v>
      </c>
      <c r="F100" t="str">
        <f>"C:\TOC3201\CalCurves\Itamar\C_cal_100ppm_acid_laurel.2019_08_21_13_17_46.cal"</f>
        <v>C:\TOC3201\CalCurves\Itamar\C_cal_100ppm_acid_laurel.2019_08_21_13_17_46.cal</v>
      </c>
      <c r="G100">
        <v>1</v>
      </c>
      <c r="H100" t="str">
        <f>""</f>
        <v/>
      </c>
      <c r="I100" t="str">
        <f>"8/21/2019 7:31:28 PM"</f>
        <v>8/21/2019 7:31:28 PM</v>
      </c>
      <c r="J100" t="str">
        <f>"1"</f>
        <v>1</v>
      </c>
      <c r="K100" t="str">
        <f>"1"</f>
        <v>1</v>
      </c>
      <c r="L100" t="str">
        <f>"NPOC"</f>
        <v>NPOC</v>
      </c>
      <c r="M100" t="str">
        <f>"111.9"</f>
        <v>111.9</v>
      </c>
      <c r="N100" t="str">
        <f>"22.55"</f>
        <v>22.55</v>
      </c>
      <c r="O100" t="str">
        <f>"NPOC:22.64mg/L TN:3.862mg/L"</f>
        <v>NPOC:22.64mg/L TN:3.862mg/L</v>
      </c>
      <c r="P100">
        <v>0</v>
      </c>
      <c r="Q100" t="str">
        <f>"80"</f>
        <v>80</v>
      </c>
    </row>
    <row r="101" spans="1:17" x14ac:dyDescent="0.2">
      <c r="A101" t="str">
        <f>"Unknown"</f>
        <v>Unknown</v>
      </c>
      <c r="B101" t="str">
        <f>"NPOC/TN"</f>
        <v>NPOC/TN</v>
      </c>
      <c r="C101" t="str">
        <f>"1112"</f>
        <v>1112</v>
      </c>
      <c r="D101" t="str">
        <f>"DI"</f>
        <v>DI</v>
      </c>
      <c r="E101" t="str">
        <f>"C:\TOC3201\Methods\Itamar\acid_sample.met"</f>
        <v>C:\TOC3201\Methods\Itamar\acid_sample.met</v>
      </c>
      <c r="F101" t="str">
        <f>"C:\TOC3201\CalCurves\Itamar\C_cal_100ppm_acid_laurel.2019_08_21_13_17_46.cal"</f>
        <v>C:\TOC3201\CalCurves\Itamar\C_cal_100ppm_acid_laurel.2019_08_21_13_17_46.cal</v>
      </c>
      <c r="G101">
        <v>1</v>
      </c>
      <c r="H101" t="str">
        <f>""</f>
        <v/>
      </c>
      <c r="I101" t="str">
        <f>"8/21/2019 7:35:09 PM"</f>
        <v>8/21/2019 7:35:09 PM</v>
      </c>
      <c r="J101" t="str">
        <f>"1"</f>
        <v>1</v>
      </c>
      <c r="K101" t="str">
        <f>"2"</f>
        <v>2</v>
      </c>
      <c r="L101" t="str">
        <f>"NPOC"</f>
        <v>NPOC</v>
      </c>
      <c r="M101" t="str">
        <f>"107.5"</f>
        <v>107.5</v>
      </c>
      <c r="N101" t="str">
        <f>"21.65"</f>
        <v>21.65</v>
      </c>
      <c r="O101" t="str">
        <f>"NPOC:22.64mg/L TN:3.862mg/L"</f>
        <v>NPOC:22.64mg/L TN:3.862mg/L</v>
      </c>
      <c r="P101">
        <v>1</v>
      </c>
      <c r="Q101" t="str">
        <f>"80"</f>
        <v>80</v>
      </c>
    </row>
    <row r="102" spans="1:17" x14ac:dyDescent="0.2">
      <c r="A102" t="str">
        <f>"Unknown"</f>
        <v>Unknown</v>
      </c>
      <c r="B102" t="str">
        <f>"NPOC/TN"</f>
        <v>NPOC/TN</v>
      </c>
      <c r="C102" t="str">
        <f>"1112"</f>
        <v>1112</v>
      </c>
      <c r="D102" t="str">
        <f>"DI"</f>
        <v>DI</v>
      </c>
      <c r="E102" t="str">
        <f>"C:\TOC3201\Methods\Itamar\acid_sample.met"</f>
        <v>C:\TOC3201\Methods\Itamar\acid_sample.met</v>
      </c>
      <c r="F102" t="str">
        <f>"C:\TOC3201\CalCurves\Itamar\C_cal_100ppm_acid_laurel.2019_08_21_13_17_46.cal"</f>
        <v>C:\TOC3201\CalCurves\Itamar\C_cal_100ppm_acid_laurel.2019_08_21_13_17_46.cal</v>
      </c>
      <c r="G102">
        <v>1</v>
      </c>
      <c r="H102" t="str">
        <f>""</f>
        <v/>
      </c>
      <c r="I102" t="str">
        <f>"8/21/2019 7:39:08 PM"</f>
        <v>8/21/2019 7:39:08 PM</v>
      </c>
      <c r="J102" t="str">
        <f>"1"</f>
        <v>1</v>
      </c>
      <c r="K102" t="str">
        <f>"3"</f>
        <v>3</v>
      </c>
      <c r="L102" t="str">
        <f>"NPOC"</f>
        <v>NPOC</v>
      </c>
      <c r="M102" t="str">
        <f>"112.1"</f>
        <v>112.1</v>
      </c>
      <c r="N102" t="str">
        <f>"22.59"</f>
        <v>22.59</v>
      </c>
      <c r="O102" t="str">
        <f>"NPOC:22.64mg/L TN:3.862mg/L"</f>
        <v>NPOC:22.64mg/L TN:3.862mg/L</v>
      </c>
      <c r="P102">
        <v>0</v>
      </c>
      <c r="Q102" t="str">
        <f>"80"</f>
        <v>80</v>
      </c>
    </row>
    <row r="103" spans="1:17" x14ac:dyDescent="0.2">
      <c r="A103" t="str">
        <f>"Unknown"</f>
        <v>Unknown</v>
      </c>
      <c r="B103" t="str">
        <f>"NPOC/TN"</f>
        <v>NPOC/TN</v>
      </c>
      <c r="C103" t="str">
        <f>"1112"</f>
        <v>1112</v>
      </c>
      <c r="D103" t="str">
        <f>"DI"</f>
        <v>DI</v>
      </c>
      <c r="E103" t="str">
        <f>"C:\TOC3201\Methods\Itamar\acid_sample.met"</f>
        <v>C:\TOC3201\Methods\Itamar\acid_sample.met</v>
      </c>
      <c r="F103" t="str">
        <f>"C:\TOC3201\CalCurves\Itamar\C_cal_100ppm_acid_laurel.2019_08_21_13_17_46.cal"</f>
        <v>C:\TOC3201\CalCurves\Itamar\C_cal_100ppm_acid_laurel.2019_08_21_13_17_46.cal</v>
      </c>
      <c r="G103">
        <v>1</v>
      </c>
      <c r="H103" t="str">
        <f>""</f>
        <v/>
      </c>
      <c r="I103" t="str">
        <f>"8/21/2019 7:43:05 PM"</f>
        <v>8/21/2019 7:43:05 PM</v>
      </c>
      <c r="J103" t="str">
        <f>"1"</f>
        <v>1</v>
      </c>
      <c r="K103" t="str">
        <f>"4"</f>
        <v>4</v>
      </c>
      <c r="L103" t="str">
        <f>"NPOC"</f>
        <v>NPOC</v>
      </c>
      <c r="M103" t="str">
        <f>"113.0"</f>
        <v>113.0</v>
      </c>
      <c r="N103" t="str">
        <f>"22.78"</f>
        <v>22.78</v>
      </c>
      <c r="O103" t="str">
        <f>"NPOC:22.64mg/L TN:3.862mg/L"</f>
        <v>NPOC:22.64mg/L TN:3.862mg/L</v>
      </c>
      <c r="P103">
        <v>0</v>
      </c>
      <c r="Q103" t="str">
        <f>"80"</f>
        <v>80</v>
      </c>
    </row>
    <row r="104" spans="1:17" x14ac:dyDescent="0.2">
      <c r="A104" t="str">
        <f>"Unknown"</f>
        <v>Unknown</v>
      </c>
      <c r="B104" t="str">
        <f>"NPOC/TN"</f>
        <v>NPOC/TN</v>
      </c>
      <c r="C104" t="str">
        <f>"1112"</f>
        <v>1112</v>
      </c>
      <c r="D104" t="str">
        <f>"DI"</f>
        <v>DI</v>
      </c>
      <c r="E104" t="str">
        <f>"C:\TOC3201\Methods\Itamar\acid_sample.met"</f>
        <v>C:\TOC3201\Methods\Itamar\acid_sample.met</v>
      </c>
      <c r="F104" t="str">
        <f>"C:\TOC3201\CalCurves\Itamar\N_cal_25ppm_acid_laurel.2019_08_21_15_23_49.cal"</f>
        <v>C:\TOC3201\CalCurves\Itamar\N_cal_25ppm_acid_laurel.2019_08_21_15_23_49.cal</v>
      </c>
      <c r="G104">
        <v>1</v>
      </c>
      <c r="H104" t="str">
        <f>""</f>
        <v/>
      </c>
      <c r="I104" t="str">
        <f>"8/21/2019 7:31:28 PM"</f>
        <v>8/21/2019 7:31:28 PM</v>
      </c>
      <c r="J104" t="str">
        <f>"1"</f>
        <v>1</v>
      </c>
      <c r="K104" t="str">
        <f>"1"</f>
        <v>1</v>
      </c>
      <c r="L104" t="str">
        <f>"TN"</f>
        <v>TN</v>
      </c>
      <c r="M104" t="str">
        <f>"13.72"</f>
        <v>13.72</v>
      </c>
      <c r="N104" t="str">
        <f>"3.917"</f>
        <v>3.917</v>
      </c>
      <c r="O104" t="str">
        <f>"NPOC:22.64mg/L TN:3.862mg/L"</f>
        <v>NPOC:22.64mg/L TN:3.862mg/L</v>
      </c>
      <c r="P104">
        <v>0</v>
      </c>
      <c r="Q104" t="str">
        <f>"80"</f>
        <v>80</v>
      </c>
    </row>
    <row r="105" spans="1:17" x14ac:dyDescent="0.2">
      <c r="A105" t="str">
        <f>"Unknown"</f>
        <v>Unknown</v>
      </c>
      <c r="B105" t="str">
        <f>"NPOC/TN"</f>
        <v>NPOC/TN</v>
      </c>
      <c r="C105" t="str">
        <f>"1112"</f>
        <v>1112</v>
      </c>
      <c r="D105" t="str">
        <f>"DI"</f>
        <v>DI</v>
      </c>
      <c r="E105" t="str">
        <f>"C:\TOC3201\Methods\Itamar\acid_sample.met"</f>
        <v>C:\TOC3201\Methods\Itamar\acid_sample.met</v>
      </c>
      <c r="F105" t="str">
        <f>"C:\TOC3201\CalCurves\Itamar\N_cal_25ppm_acid_laurel.2019_08_21_15_23_49.cal"</f>
        <v>C:\TOC3201\CalCurves\Itamar\N_cal_25ppm_acid_laurel.2019_08_21_15_23_49.cal</v>
      </c>
      <c r="G105">
        <v>1</v>
      </c>
      <c r="H105" t="str">
        <f>""</f>
        <v/>
      </c>
      <c r="I105" t="str">
        <f>"8/21/2019 7:35:09 PM"</f>
        <v>8/21/2019 7:35:09 PM</v>
      </c>
      <c r="J105" t="str">
        <f>"1"</f>
        <v>1</v>
      </c>
      <c r="K105" t="str">
        <f>"2"</f>
        <v>2</v>
      </c>
      <c r="L105" t="str">
        <f>"TN"</f>
        <v>TN</v>
      </c>
      <c r="M105" t="str">
        <f>"12.85"</f>
        <v>12.85</v>
      </c>
      <c r="N105" t="str">
        <f>"3.679"</f>
        <v>3.679</v>
      </c>
      <c r="O105" t="str">
        <f>"NPOC:22.64mg/L TN:3.862mg/L"</f>
        <v>NPOC:22.64mg/L TN:3.862mg/L</v>
      </c>
      <c r="P105">
        <v>1</v>
      </c>
      <c r="Q105" t="str">
        <f>"80"</f>
        <v>80</v>
      </c>
    </row>
    <row r="106" spans="1:17" x14ac:dyDescent="0.2">
      <c r="A106" t="str">
        <f>"Unknown"</f>
        <v>Unknown</v>
      </c>
      <c r="B106" t="str">
        <f>"NPOC/TN"</f>
        <v>NPOC/TN</v>
      </c>
      <c r="C106" t="str">
        <f>"1112"</f>
        <v>1112</v>
      </c>
      <c r="D106" t="str">
        <f>"DI"</f>
        <v>DI</v>
      </c>
      <c r="E106" t="str">
        <f>"C:\TOC3201\Methods\Itamar\acid_sample.met"</f>
        <v>C:\TOC3201\Methods\Itamar\acid_sample.met</v>
      </c>
      <c r="F106" t="str">
        <f>"C:\TOC3201\CalCurves\Itamar\N_cal_25ppm_acid_laurel.2019_08_21_15_23_49.cal"</f>
        <v>C:\TOC3201\CalCurves\Itamar\N_cal_25ppm_acid_laurel.2019_08_21_15_23_49.cal</v>
      </c>
      <c r="G106">
        <v>1</v>
      </c>
      <c r="H106" t="str">
        <f>""</f>
        <v/>
      </c>
      <c r="I106" t="str">
        <f>"8/21/2019 7:39:08 PM"</f>
        <v>8/21/2019 7:39:08 PM</v>
      </c>
      <c r="J106" t="str">
        <f>"1"</f>
        <v>1</v>
      </c>
      <c r="K106" t="str">
        <f>"3"</f>
        <v>3</v>
      </c>
      <c r="L106" t="str">
        <f>"TN"</f>
        <v>TN</v>
      </c>
      <c r="M106" t="str">
        <f>"13.54"</f>
        <v>13.54</v>
      </c>
      <c r="N106" t="str">
        <f>"3.868"</f>
        <v>3.868</v>
      </c>
      <c r="O106" t="str">
        <f>"NPOC:22.64mg/L TN:3.862mg/L"</f>
        <v>NPOC:22.64mg/L TN:3.862mg/L</v>
      </c>
      <c r="P106">
        <v>0</v>
      </c>
      <c r="Q106" t="str">
        <f>"80"</f>
        <v>80</v>
      </c>
    </row>
    <row r="107" spans="1:17" x14ac:dyDescent="0.2">
      <c r="A107" t="str">
        <f>"Unknown"</f>
        <v>Unknown</v>
      </c>
      <c r="B107" t="str">
        <f>"NPOC/TN"</f>
        <v>NPOC/TN</v>
      </c>
      <c r="C107" t="str">
        <f>"1112"</f>
        <v>1112</v>
      </c>
      <c r="D107" t="str">
        <f>"DI"</f>
        <v>DI</v>
      </c>
      <c r="E107" t="str">
        <f>"C:\TOC3201\Methods\Itamar\acid_sample.met"</f>
        <v>C:\TOC3201\Methods\Itamar\acid_sample.met</v>
      </c>
      <c r="F107" t="str">
        <f>"C:\TOC3201\CalCurves\Itamar\N_cal_25ppm_acid_laurel.2019_08_21_15_23_49.cal"</f>
        <v>C:\TOC3201\CalCurves\Itamar\N_cal_25ppm_acid_laurel.2019_08_21_15_23_49.cal</v>
      </c>
      <c r="G107">
        <v>1</v>
      </c>
      <c r="H107" t="str">
        <f>""</f>
        <v/>
      </c>
      <c r="I107" t="str">
        <f>"8/21/2019 7:43:05 PM"</f>
        <v>8/21/2019 7:43:05 PM</v>
      </c>
      <c r="J107" t="str">
        <f>"1"</f>
        <v>1</v>
      </c>
      <c r="K107" t="str">
        <f>"4"</f>
        <v>4</v>
      </c>
      <c r="L107" t="str">
        <f>"TN"</f>
        <v>TN</v>
      </c>
      <c r="M107" t="str">
        <f>"13.30"</f>
        <v>13.30</v>
      </c>
      <c r="N107" t="str">
        <f>"3.802"</f>
        <v>3.802</v>
      </c>
      <c r="O107" t="str">
        <f>"NPOC:22.64mg/L TN:3.862mg/L"</f>
        <v>NPOC:22.64mg/L TN:3.862mg/L</v>
      </c>
      <c r="P107">
        <v>0</v>
      </c>
      <c r="Q107" t="str">
        <f>"80"</f>
        <v>80</v>
      </c>
    </row>
    <row r="108" spans="1:17" x14ac:dyDescent="0.2">
      <c r="A108" t="str">
        <f>"Unknown"</f>
        <v>Unknown</v>
      </c>
      <c r="B108" t="str">
        <f>"NPOC/TN"</f>
        <v>NPOC/TN</v>
      </c>
      <c r="C108" t="str">
        <f>"1114"</f>
        <v>1114</v>
      </c>
      <c r="D108" t="str">
        <f>"DI"</f>
        <v>DI</v>
      </c>
      <c r="E108" t="str">
        <f>"C:\TOC3201\Methods\Itamar\acid_sample.met"</f>
        <v>C:\TOC3201\Methods\Itamar\acid_sample.met</v>
      </c>
      <c r="F108" t="str">
        <f>"C:\TOC3201\CalCurves\Itamar\C_cal_100ppm_acid_laurel.2019_08_21_13_17_46.cal"</f>
        <v>C:\TOC3201\CalCurves\Itamar\C_cal_100ppm_acid_laurel.2019_08_21_13_17_46.cal</v>
      </c>
      <c r="G108">
        <v>1</v>
      </c>
      <c r="H108" t="str">
        <f>""</f>
        <v/>
      </c>
      <c r="I108" t="str">
        <f>"8/21/2019 7:53:30 PM"</f>
        <v>8/21/2019 7:53:30 PM</v>
      </c>
      <c r="J108" t="str">
        <f>"1"</f>
        <v>1</v>
      </c>
      <c r="K108" t="str">
        <f>"1"</f>
        <v>1</v>
      </c>
      <c r="L108" t="str">
        <f>"NPOC"</f>
        <v>NPOC</v>
      </c>
      <c r="M108" t="str">
        <f>"108.2"</f>
        <v>108.2</v>
      </c>
      <c r="N108" t="str">
        <f>"21.80"</f>
        <v>21.80</v>
      </c>
      <c r="O108" t="str">
        <f>"NPOC:21.86mg/L TN:3.927mg/L"</f>
        <v>NPOC:21.86mg/L TN:3.927mg/L</v>
      </c>
      <c r="P108">
        <v>0</v>
      </c>
      <c r="Q108" t="str">
        <f>"80"</f>
        <v>80</v>
      </c>
    </row>
    <row r="109" spans="1:17" x14ac:dyDescent="0.2">
      <c r="A109" t="str">
        <f>"Unknown"</f>
        <v>Unknown</v>
      </c>
      <c r="B109" t="str">
        <f>"NPOC/TN"</f>
        <v>NPOC/TN</v>
      </c>
      <c r="C109" t="str">
        <f>"1114"</f>
        <v>1114</v>
      </c>
      <c r="D109" t="str">
        <f>"DI"</f>
        <v>DI</v>
      </c>
      <c r="E109" t="str">
        <f>"C:\TOC3201\Methods\Itamar\acid_sample.met"</f>
        <v>C:\TOC3201\Methods\Itamar\acid_sample.met</v>
      </c>
      <c r="F109" t="str">
        <f>"C:\TOC3201\CalCurves\Itamar\C_cal_100ppm_acid_laurel.2019_08_21_13_17_46.cal"</f>
        <v>C:\TOC3201\CalCurves\Itamar\C_cal_100ppm_acid_laurel.2019_08_21_13_17_46.cal</v>
      </c>
      <c r="G109">
        <v>1</v>
      </c>
      <c r="H109" t="str">
        <f>""</f>
        <v/>
      </c>
      <c r="I109" t="str">
        <f>"8/21/2019 7:57:24 PM"</f>
        <v>8/21/2019 7:57:24 PM</v>
      </c>
      <c r="J109" t="str">
        <f>"1"</f>
        <v>1</v>
      </c>
      <c r="K109" t="str">
        <f>"2"</f>
        <v>2</v>
      </c>
      <c r="L109" t="str">
        <f>"NPOC"</f>
        <v>NPOC</v>
      </c>
      <c r="M109" t="str">
        <f>"106.4"</f>
        <v>106.4</v>
      </c>
      <c r="N109" t="str">
        <f>"21.43"</f>
        <v>21.43</v>
      </c>
      <c r="O109" t="str">
        <f>"NPOC:21.86mg/L TN:3.927mg/L"</f>
        <v>NPOC:21.86mg/L TN:3.927mg/L</v>
      </c>
      <c r="P109">
        <v>0</v>
      </c>
      <c r="Q109" t="str">
        <f>"80"</f>
        <v>80</v>
      </c>
    </row>
    <row r="110" spans="1:17" x14ac:dyDescent="0.2">
      <c r="A110" t="str">
        <f>"Unknown"</f>
        <v>Unknown</v>
      </c>
      <c r="B110" t="str">
        <f>"NPOC/TN"</f>
        <v>NPOC/TN</v>
      </c>
      <c r="C110" t="str">
        <f>"1114"</f>
        <v>1114</v>
      </c>
      <c r="D110" t="str">
        <f>"DI"</f>
        <v>DI</v>
      </c>
      <c r="E110" t="str">
        <f>"C:\TOC3201\Methods\Itamar\acid_sample.met"</f>
        <v>C:\TOC3201\Methods\Itamar\acid_sample.met</v>
      </c>
      <c r="F110" t="str">
        <f>"C:\TOC3201\CalCurves\Itamar\C_cal_100ppm_acid_laurel.2019_08_21_13_17_46.cal"</f>
        <v>C:\TOC3201\CalCurves\Itamar\C_cal_100ppm_acid_laurel.2019_08_21_13_17_46.cal</v>
      </c>
      <c r="G110">
        <v>1</v>
      </c>
      <c r="H110" t="str">
        <f>""</f>
        <v/>
      </c>
      <c r="I110" t="str">
        <f>"8/21/2019 8:01:26 PM"</f>
        <v>8/21/2019 8:01:26 PM</v>
      </c>
      <c r="J110" t="str">
        <f>"1"</f>
        <v>1</v>
      </c>
      <c r="K110" t="str">
        <f>"3"</f>
        <v>3</v>
      </c>
      <c r="L110" t="str">
        <f>"NPOC"</f>
        <v>NPOC</v>
      </c>
      <c r="M110" t="str">
        <f>"115.6"</f>
        <v>115.6</v>
      </c>
      <c r="N110" t="str">
        <f>"23.31"</f>
        <v>23.31</v>
      </c>
      <c r="O110" t="str">
        <f>"NPOC:21.86mg/L TN:3.927mg/L"</f>
        <v>NPOC:21.86mg/L TN:3.927mg/L</v>
      </c>
      <c r="P110">
        <v>1</v>
      </c>
      <c r="Q110" t="str">
        <f>"80"</f>
        <v>80</v>
      </c>
    </row>
    <row r="111" spans="1:17" x14ac:dyDescent="0.2">
      <c r="A111" t="str">
        <f>"Unknown"</f>
        <v>Unknown</v>
      </c>
      <c r="B111" t="str">
        <f>"NPOC/TN"</f>
        <v>NPOC/TN</v>
      </c>
      <c r="C111" t="str">
        <f>"1114"</f>
        <v>1114</v>
      </c>
      <c r="D111" t="str">
        <f>"DI"</f>
        <v>DI</v>
      </c>
      <c r="E111" t="str">
        <f>"C:\TOC3201\Methods\Itamar\acid_sample.met"</f>
        <v>C:\TOC3201\Methods\Itamar\acid_sample.met</v>
      </c>
      <c r="F111" t="str">
        <f>"C:\TOC3201\CalCurves\Itamar\C_cal_100ppm_acid_laurel.2019_08_21_13_17_46.cal"</f>
        <v>C:\TOC3201\CalCurves\Itamar\C_cal_100ppm_acid_laurel.2019_08_21_13_17_46.cal</v>
      </c>
      <c r="G111">
        <v>1</v>
      </c>
      <c r="H111" t="str">
        <f>""</f>
        <v/>
      </c>
      <c r="I111" t="str">
        <f>"8/21/2019 8:05:24 PM"</f>
        <v>8/21/2019 8:05:24 PM</v>
      </c>
      <c r="J111" t="str">
        <f>"1"</f>
        <v>1</v>
      </c>
      <c r="K111" t="str">
        <f>"4"</f>
        <v>4</v>
      </c>
      <c r="L111" t="str">
        <f>"NPOC"</f>
        <v>NPOC</v>
      </c>
      <c r="M111" t="str">
        <f>"110.9"</f>
        <v>110.9</v>
      </c>
      <c r="N111" t="str">
        <f>"22.35"</f>
        <v>22.35</v>
      </c>
      <c r="O111" t="str">
        <f>"NPOC:21.86mg/L TN:3.927mg/L"</f>
        <v>NPOC:21.86mg/L TN:3.927mg/L</v>
      </c>
      <c r="P111">
        <v>0</v>
      </c>
      <c r="Q111" t="str">
        <f>"80"</f>
        <v>80</v>
      </c>
    </row>
    <row r="112" spans="1:17" x14ac:dyDescent="0.2">
      <c r="A112" t="str">
        <f>"Unknown"</f>
        <v>Unknown</v>
      </c>
      <c r="B112" t="str">
        <f>"NPOC/TN"</f>
        <v>NPOC/TN</v>
      </c>
      <c r="C112" t="str">
        <f>"1114"</f>
        <v>1114</v>
      </c>
      <c r="D112" t="str">
        <f>"DI"</f>
        <v>DI</v>
      </c>
      <c r="E112" t="str">
        <f>"C:\TOC3201\Methods\Itamar\acid_sample.met"</f>
        <v>C:\TOC3201\Methods\Itamar\acid_sample.met</v>
      </c>
      <c r="F112" t="str">
        <f>"C:\TOC3201\CalCurves\Itamar\C_cal_100ppm_acid_laurel.2019_08_21_13_17_46.cal"</f>
        <v>C:\TOC3201\CalCurves\Itamar\C_cal_100ppm_acid_laurel.2019_08_21_13_17_46.cal</v>
      </c>
      <c r="G112">
        <v>1</v>
      </c>
      <c r="H112" t="str">
        <f>""</f>
        <v/>
      </c>
      <c r="I112" t="str">
        <f>"8/21/2019 8:09:18 PM"</f>
        <v>8/21/2019 8:09:18 PM</v>
      </c>
      <c r="J112" t="str">
        <f>"1"</f>
        <v>1</v>
      </c>
      <c r="K112" t="str">
        <f>"5"</f>
        <v>5</v>
      </c>
      <c r="L112" t="str">
        <f>"NPOC"</f>
        <v>NPOC</v>
      </c>
      <c r="M112" t="str">
        <f>"102.9"</f>
        <v>102.9</v>
      </c>
      <c r="N112" t="str">
        <f>"20.71"</f>
        <v>20.71</v>
      </c>
      <c r="O112" t="str">
        <f>"NPOC:21.86mg/L TN:3.927mg/L"</f>
        <v>NPOC:21.86mg/L TN:3.927mg/L</v>
      </c>
      <c r="P112">
        <v>1</v>
      </c>
      <c r="Q112" t="str">
        <f>"80"</f>
        <v>80</v>
      </c>
    </row>
    <row r="113" spans="1:17" x14ac:dyDescent="0.2">
      <c r="A113" t="str">
        <f>"Unknown"</f>
        <v>Unknown</v>
      </c>
      <c r="B113" t="str">
        <f>"NPOC/TN"</f>
        <v>NPOC/TN</v>
      </c>
      <c r="C113" t="str">
        <f>"1114"</f>
        <v>1114</v>
      </c>
      <c r="D113" t="str">
        <f>"DI"</f>
        <v>DI</v>
      </c>
      <c r="E113" t="str">
        <f>"C:\TOC3201\Methods\Itamar\acid_sample.met"</f>
        <v>C:\TOC3201\Methods\Itamar\acid_sample.met</v>
      </c>
      <c r="F113" t="str">
        <f>"C:\TOC3201\CalCurves\Itamar\N_cal_25ppm_acid_laurel.2019_08_21_15_23_49.cal"</f>
        <v>C:\TOC3201\CalCurves\Itamar\N_cal_25ppm_acid_laurel.2019_08_21_15_23_49.cal</v>
      </c>
      <c r="G113">
        <v>1</v>
      </c>
      <c r="H113" t="str">
        <f>""</f>
        <v/>
      </c>
      <c r="I113" t="str">
        <f>"8/21/2019 7:53:30 PM"</f>
        <v>8/21/2019 7:53:30 PM</v>
      </c>
      <c r="J113" t="str">
        <f>"1"</f>
        <v>1</v>
      </c>
      <c r="K113" t="str">
        <f>"1"</f>
        <v>1</v>
      </c>
      <c r="L113" t="str">
        <f>"TN"</f>
        <v>TN</v>
      </c>
      <c r="M113" t="str">
        <f>"13.77"</f>
        <v>13.77</v>
      </c>
      <c r="N113" t="str">
        <f>"3.931"</f>
        <v>3.931</v>
      </c>
      <c r="O113" t="str">
        <f>"NPOC:21.86mg/L TN:3.927mg/L"</f>
        <v>NPOC:21.86mg/L TN:3.927mg/L</v>
      </c>
      <c r="P113">
        <v>0</v>
      </c>
      <c r="Q113" t="str">
        <f>"80"</f>
        <v>80</v>
      </c>
    </row>
    <row r="114" spans="1:17" x14ac:dyDescent="0.2">
      <c r="A114" t="str">
        <f>"Unknown"</f>
        <v>Unknown</v>
      </c>
      <c r="B114" t="str">
        <f>"NPOC/TN"</f>
        <v>NPOC/TN</v>
      </c>
      <c r="C114" t="str">
        <f>"1114"</f>
        <v>1114</v>
      </c>
      <c r="D114" t="str">
        <f>"DI"</f>
        <v>DI</v>
      </c>
      <c r="E114" t="str">
        <f>"C:\TOC3201\Methods\Itamar\acid_sample.met"</f>
        <v>C:\TOC3201\Methods\Itamar\acid_sample.met</v>
      </c>
      <c r="F114" t="str">
        <f>"C:\TOC3201\CalCurves\Itamar\N_cal_25ppm_acid_laurel.2019_08_21_15_23_49.cal"</f>
        <v>C:\TOC3201\CalCurves\Itamar\N_cal_25ppm_acid_laurel.2019_08_21_15_23_49.cal</v>
      </c>
      <c r="G114">
        <v>1</v>
      </c>
      <c r="H114" t="str">
        <f>""</f>
        <v/>
      </c>
      <c r="I114" t="str">
        <f>"8/21/2019 7:57:24 PM"</f>
        <v>8/21/2019 7:57:24 PM</v>
      </c>
      <c r="J114" t="str">
        <f>"1"</f>
        <v>1</v>
      </c>
      <c r="K114" t="str">
        <f>"2"</f>
        <v>2</v>
      </c>
      <c r="L114" t="str">
        <f>"TN"</f>
        <v>TN</v>
      </c>
      <c r="M114" t="str">
        <f>"13.64"</f>
        <v>13.64</v>
      </c>
      <c r="N114" t="str">
        <f>"3.895"</f>
        <v>3.895</v>
      </c>
      <c r="O114" t="str">
        <f>"NPOC:21.86mg/L TN:3.927mg/L"</f>
        <v>NPOC:21.86mg/L TN:3.927mg/L</v>
      </c>
      <c r="P114">
        <v>0</v>
      </c>
      <c r="Q114" t="str">
        <f>"80"</f>
        <v>80</v>
      </c>
    </row>
    <row r="115" spans="1:17" x14ac:dyDescent="0.2">
      <c r="A115" t="str">
        <f>"Unknown"</f>
        <v>Unknown</v>
      </c>
      <c r="B115" t="str">
        <f>"NPOC/TN"</f>
        <v>NPOC/TN</v>
      </c>
      <c r="C115" t="str">
        <f>"1114"</f>
        <v>1114</v>
      </c>
      <c r="D115" t="str">
        <f>"DI"</f>
        <v>DI</v>
      </c>
      <c r="E115" t="str">
        <f>"C:\TOC3201\Methods\Itamar\acid_sample.met"</f>
        <v>C:\TOC3201\Methods\Itamar\acid_sample.met</v>
      </c>
      <c r="F115" t="str">
        <f>"C:\TOC3201\CalCurves\Itamar\N_cal_25ppm_acid_laurel.2019_08_21_15_23_49.cal"</f>
        <v>C:\TOC3201\CalCurves\Itamar\N_cal_25ppm_acid_laurel.2019_08_21_15_23_49.cal</v>
      </c>
      <c r="G115">
        <v>1</v>
      </c>
      <c r="H115" t="str">
        <f>""</f>
        <v/>
      </c>
      <c r="I115" t="str">
        <f>"8/21/2019 8:01:27 PM"</f>
        <v>8/21/2019 8:01:27 PM</v>
      </c>
      <c r="J115" t="str">
        <f>"1"</f>
        <v>1</v>
      </c>
      <c r="K115" t="str">
        <f>"3"</f>
        <v>3</v>
      </c>
      <c r="L115" t="str">
        <f>"TN"</f>
        <v>TN</v>
      </c>
      <c r="M115" t="str">
        <f>"14.67"</f>
        <v>14.67</v>
      </c>
      <c r="N115" t="str">
        <f>"4.178"</f>
        <v>4.178</v>
      </c>
      <c r="O115" t="str">
        <f>"NPOC:21.86mg/L TN:3.927mg/L"</f>
        <v>NPOC:21.86mg/L TN:3.927mg/L</v>
      </c>
      <c r="P115">
        <v>1</v>
      </c>
      <c r="Q115" t="str">
        <f>"80"</f>
        <v>80</v>
      </c>
    </row>
    <row r="116" spans="1:17" x14ac:dyDescent="0.2">
      <c r="A116" t="str">
        <f>"Unknown"</f>
        <v>Unknown</v>
      </c>
      <c r="B116" t="str">
        <f>"NPOC/TN"</f>
        <v>NPOC/TN</v>
      </c>
      <c r="C116" t="str">
        <f>"1114"</f>
        <v>1114</v>
      </c>
      <c r="D116" t="str">
        <f>"DI"</f>
        <v>DI</v>
      </c>
      <c r="E116" t="str">
        <f>"C:\TOC3201\Methods\Itamar\acid_sample.met"</f>
        <v>C:\TOC3201\Methods\Itamar\acid_sample.met</v>
      </c>
      <c r="F116" t="str">
        <f>"C:\TOC3201\CalCurves\Itamar\N_cal_25ppm_acid_laurel.2019_08_21_15_23_49.cal"</f>
        <v>C:\TOC3201\CalCurves\Itamar\N_cal_25ppm_acid_laurel.2019_08_21_15_23_49.cal</v>
      </c>
      <c r="G116">
        <v>1</v>
      </c>
      <c r="H116" t="str">
        <f>""</f>
        <v/>
      </c>
      <c r="I116" t="str">
        <f>"8/21/2019 8:05:24 PM"</f>
        <v>8/21/2019 8:05:24 PM</v>
      </c>
      <c r="J116" t="str">
        <f>"1"</f>
        <v>1</v>
      </c>
      <c r="K116" t="str">
        <f>"4"</f>
        <v>4</v>
      </c>
      <c r="L116" t="str">
        <f>"TN"</f>
        <v>TN</v>
      </c>
      <c r="M116" t="str">
        <f>"13.86"</f>
        <v>13.86</v>
      </c>
      <c r="N116" t="str">
        <f>"3.956"</f>
        <v>3.956</v>
      </c>
      <c r="O116" t="str">
        <f>"NPOC:21.86mg/L TN:3.927mg/L"</f>
        <v>NPOC:21.86mg/L TN:3.927mg/L</v>
      </c>
      <c r="P116">
        <v>0</v>
      </c>
      <c r="Q116" t="str">
        <f>"80"</f>
        <v>80</v>
      </c>
    </row>
    <row r="117" spans="1:17" x14ac:dyDescent="0.2">
      <c r="A117" t="str">
        <f>"Unknown"</f>
        <v>Unknown</v>
      </c>
      <c r="B117" t="str">
        <f>"NPOC/TN"</f>
        <v>NPOC/TN</v>
      </c>
      <c r="C117" t="str">
        <f>"1116"</f>
        <v>1116</v>
      </c>
      <c r="D117" t="str">
        <f>"DI"</f>
        <v>DI</v>
      </c>
      <c r="E117" t="str">
        <f>"C:\TOC3201\Methods\Itamar\acid_sample.met"</f>
        <v>C:\TOC3201\Methods\Itamar\acid_sample.met</v>
      </c>
      <c r="F117" t="str">
        <f>"C:\TOC3201\CalCurves\Itamar\C_cal_100ppm_acid_laurel.2019_08_21_13_17_46.cal"</f>
        <v>C:\TOC3201\CalCurves\Itamar\C_cal_100ppm_acid_laurel.2019_08_21_13_17_46.cal</v>
      </c>
      <c r="G117">
        <v>1</v>
      </c>
      <c r="H117" t="str">
        <f>""</f>
        <v/>
      </c>
      <c r="I117" t="str">
        <f>"8/21/2019 8:19:38 PM"</f>
        <v>8/21/2019 8:19:38 PM</v>
      </c>
      <c r="J117" t="str">
        <f>"1"</f>
        <v>1</v>
      </c>
      <c r="K117" t="str">
        <f>"1"</f>
        <v>1</v>
      </c>
      <c r="L117" t="str">
        <f>"NPOC"</f>
        <v>NPOC</v>
      </c>
      <c r="M117" t="str">
        <f>"107.2"</f>
        <v>107.2</v>
      </c>
      <c r="N117" t="str">
        <f>"21.59"</f>
        <v>21.59</v>
      </c>
      <c r="O117" t="str">
        <f>"NPOC:21.53mg/L TN:3.788mg/L"</f>
        <v>NPOC:21.53mg/L TN:3.788mg/L</v>
      </c>
      <c r="P117">
        <v>0</v>
      </c>
      <c r="Q117" t="str">
        <f>"80"</f>
        <v>80</v>
      </c>
    </row>
    <row r="118" spans="1:17" x14ac:dyDescent="0.2">
      <c r="A118" t="str">
        <f>"Unknown"</f>
        <v>Unknown</v>
      </c>
      <c r="B118" t="str">
        <f>"NPOC/TN"</f>
        <v>NPOC/TN</v>
      </c>
      <c r="C118" t="str">
        <f>"1116"</f>
        <v>1116</v>
      </c>
      <c r="D118" t="str">
        <f>"DI"</f>
        <v>DI</v>
      </c>
      <c r="E118" t="str">
        <f>"C:\TOC3201\Methods\Itamar\acid_sample.met"</f>
        <v>C:\TOC3201\Methods\Itamar\acid_sample.met</v>
      </c>
      <c r="F118" t="str">
        <f>"C:\TOC3201\CalCurves\Itamar\C_cal_100ppm_acid_laurel.2019_08_21_13_17_46.cal"</f>
        <v>C:\TOC3201\CalCurves\Itamar\C_cal_100ppm_acid_laurel.2019_08_21_13_17_46.cal</v>
      </c>
      <c r="G118">
        <v>1</v>
      </c>
      <c r="H118" t="str">
        <f>""</f>
        <v/>
      </c>
      <c r="I118" t="str">
        <f>"8/21/2019 8:23:28 PM"</f>
        <v>8/21/2019 8:23:28 PM</v>
      </c>
      <c r="J118" t="str">
        <f>"1"</f>
        <v>1</v>
      </c>
      <c r="K118" t="str">
        <f>"2"</f>
        <v>2</v>
      </c>
      <c r="L118" t="str">
        <f>"NPOC"</f>
        <v>NPOC</v>
      </c>
      <c r="M118" t="str">
        <f>"106.5"</f>
        <v>106.5</v>
      </c>
      <c r="N118" t="str">
        <f>"21.45"</f>
        <v>21.45</v>
      </c>
      <c r="O118" t="str">
        <f>"NPOC:21.53mg/L TN:3.788mg/L"</f>
        <v>NPOC:21.53mg/L TN:3.788mg/L</v>
      </c>
      <c r="P118">
        <v>0</v>
      </c>
      <c r="Q118" t="str">
        <f>"80"</f>
        <v>80</v>
      </c>
    </row>
    <row r="119" spans="1:17" x14ac:dyDescent="0.2">
      <c r="A119" t="str">
        <f>"Unknown"</f>
        <v>Unknown</v>
      </c>
      <c r="B119" t="str">
        <f>"NPOC/TN"</f>
        <v>NPOC/TN</v>
      </c>
      <c r="C119" t="str">
        <f>"1116"</f>
        <v>1116</v>
      </c>
      <c r="D119" t="str">
        <f>"DI"</f>
        <v>DI</v>
      </c>
      <c r="E119" t="str">
        <f>"C:\TOC3201\Methods\Itamar\acid_sample.met"</f>
        <v>C:\TOC3201\Methods\Itamar\acid_sample.met</v>
      </c>
      <c r="F119" t="str">
        <f>"C:\TOC3201\CalCurves\Itamar\C_cal_100ppm_acid_laurel.2019_08_21_13_17_46.cal"</f>
        <v>C:\TOC3201\CalCurves\Itamar\C_cal_100ppm_acid_laurel.2019_08_21_13_17_46.cal</v>
      </c>
      <c r="G119">
        <v>1</v>
      </c>
      <c r="H119" t="str">
        <f>""</f>
        <v/>
      </c>
      <c r="I119" t="str">
        <f>"8/21/2019 8:27:23 PM"</f>
        <v>8/21/2019 8:27:23 PM</v>
      </c>
      <c r="J119" t="str">
        <f>"1"</f>
        <v>1</v>
      </c>
      <c r="K119" t="str">
        <f>"3"</f>
        <v>3</v>
      </c>
      <c r="L119" t="str">
        <f>"NPOC"</f>
        <v>NPOC</v>
      </c>
      <c r="M119" t="str">
        <f>"113.7"</f>
        <v>113.7</v>
      </c>
      <c r="N119" t="str">
        <f>"22.92"</f>
        <v>22.92</v>
      </c>
      <c r="O119" t="str">
        <f>"NPOC:21.53mg/L TN:3.788mg/L"</f>
        <v>NPOC:21.53mg/L TN:3.788mg/L</v>
      </c>
      <c r="P119">
        <v>1</v>
      </c>
      <c r="Q119" t="str">
        <f>"80"</f>
        <v>80</v>
      </c>
    </row>
    <row r="120" spans="1:17" x14ac:dyDescent="0.2">
      <c r="A120" t="str">
        <f>"Unknown"</f>
        <v>Unknown</v>
      </c>
      <c r="B120" t="str">
        <f>"NPOC/TN"</f>
        <v>NPOC/TN</v>
      </c>
      <c r="C120" t="str">
        <f>"1116"</f>
        <v>1116</v>
      </c>
      <c r="D120" t="str">
        <f>"DI"</f>
        <v>DI</v>
      </c>
      <c r="E120" t="str">
        <f>"C:\TOC3201\Methods\Itamar\acid_sample.met"</f>
        <v>C:\TOC3201\Methods\Itamar\acid_sample.met</v>
      </c>
      <c r="F120" t="str">
        <f>"C:\TOC3201\CalCurves\Itamar\C_cal_100ppm_acid_laurel.2019_08_21_13_17_46.cal"</f>
        <v>C:\TOC3201\CalCurves\Itamar\C_cal_100ppm_acid_laurel.2019_08_21_13_17_46.cal</v>
      </c>
      <c r="G120">
        <v>1</v>
      </c>
      <c r="H120" t="str">
        <f>""</f>
        <v/>
      </c>
      <c r="I120" t="str">
        <f>"8/21/2019 8:31:18 PM"</f>
        <v>8/21/2019 8:31:18 PM</v>
      </c>
      <c r="J120" t="str">
        <f>"1"</f>
        <v>1</v>
      </c>
      <c r="K120" t="str">
        <f>"4"</f>
        <v>4</v>
      </c>
      <c r="L120" t="str">
        <f>"NPOC"</f>
        <v>NPOC</v>
      </c>
      <c r="M120" t="str">
        <f>"113.1"</f>
        <v>113.1</v>
      </c>
      <c r="N120" t="str">
        <f>"22.80"</f>
        <v>22.80</v>
      </c>
      <c r="O120" t="str">
        <f>"NPOC:21.53mg/L TN:3.788mg/L"</f>
        <v>NPOC:21.53mg/L TN:3.788mg/L</v>
      </c>
      <c r="P120">
        <v>1</v>
      </c>
      <c r="Q120" t="str">
        <f>"80"</f>
        <v>80</v>
      </c>
    </row>
    <row r="121" spans="1:17" x14ac:dyDescent="0.2">
      <c r="A121" t="str">
        <f>"Unknown"</f>
        <v>Unknown</v>
      </c>
      <c r="B121" t="str">
        <f>"NPOC/TN"</f>
        <v>NPOC/TN</v>
      </c>
      <c r="C121" t="str">
        <f>"1116"</f>
        <v>1116</v>
      </c>
      <c r="D121" t="str">
        <f>"DI"</f>
        <v>DI</v>
      </c>
      <c r="E121" t="str">
        <f>"C:\TOC3201\Methods\Itamar\acid_sample.met"</f>
        <v>C:\TOC3201\Methods\Itamar\acid_sample.met</v>
      </c>
      <c r="F121" t="str">
        <f>"C:\TOC3201\CalCurves\Itamar\C_cal_100ppm_acid_laurel.2019_08_21_13_17_46.cal"</f>
        <v>C:\TOC3201\CalCurves\Itamar\C_cal_100ppm_acid_laurel.2019_08_21_13_17_46.cal</v>
      </c>
      <c r="G121">
        <v>1</v>
      </c>
      <c r="H121" t="str">
        <f>""</f>
        <v/>
      </c>
      <c r="I121" t="str">
        <f>"8/21/2019 8:35:13 PM"</f>
        <v>8/21/2019 8:35:13 PM</v>
      </c>
      <c r="J121" t="str">
        <f>"1"</f>
        <v>1</v>
      </c>
      <c r="K121" t="str">
        <f>"5"</f>
        <v>5</v>
      </c>
      <c r="L121" t="str">
        <f>"NPOC"</f>
        <v>NPOC</v>
      </c>
      <c r="M121" t="str">
        <f>"107.0"</f>
        <v>107.0</v>
      </c>
      <c r="N121" t="str">
        <f>"21.55"</f>
        <v>21.55</v>
      </c>
      <c r="O121" t="str">
        <f>"NPOC:21.53mg/L TN:3.788mg/L"</f>
        <v>NPOC:21.53mg/L TN:3.788mg/L</v>
      </c>
      <c r="P121">
        <v>0</v>
      </c>
      <c r="Q121" t="str">
        <f>"80"</f>
        <v>80</v>
      </c>
    </row>
    <row r="122" spans="1:17" x14ac:dyDescent="0.2">
      <c r="A122" t="str">
        <f>"Unknown"</f>
        <v>Unknown</v>
      </c>
      <c r="B122" t="str">
        <f>"NPOC/TN"</f>
        <v>NPOC/TN</v>
      </c>
      <c r="C122" t="str">
        <f>"1116"</f>
        <v>1116</v>
      </c>
      <c r="D122" t="str">
        <f>"DI"</f>
        <v>DI</v>
      </c>
      <c r="E122" t="str">
        <f>"C:\TOC3201\Methods\Itamar\acid_sample.met"</f>
        <v>C:\TOC3201\Methods\Itamar\acid_sample.met</v>
      </c>
      <c r="F122" t="str">
        <f>"C:\TOC3201\CalCurves\Itamar\N_cal_25ppm_acid_laurel.2019_08_21_15_23_49.cal"</f>
        <v>C:\TOC3201\CalCurves\Itamar\N_cal_25ppm_acid_laurel.2019_08_21_15_23_49.cal</v>
      </c>
      <c r="G122">
        <v>1</v>
      </c>
      <c r="H122" t="str">
        <f>""</f>
        <v/>
      </c>
      <c r="I122" t="str">
        <f>"8/21/2019 8:19:38 PM"</f>
        <v>8/21/2019 8:19:38 PM</v>
      </c>
      <c r="J122" t="str">
        <f>"1"</f>
        <v>1</v>
      </c>
      <c r="K122" t="str">
        <f>"1"</f>
        <v>1</v>
      </c>
      <c r="L122" t="str">
        <f>"TN"</f>
        <v>TN</v>
      </c>
      <c r="M122" t="str">
        <f>"14.05"</f>
        <v>14.05</v>
      </c>
      <c r="N122" t="str">
        <f>"4.008"</f>
        <v>4.008</v>
      </c>
      <c r="O122" t="str">
        <f>"NPOC:21.53mg/L TN:3.788mg/L"</f>
        <v>NPOC:21.53mg/L TN:3.788mg/L</v>
      </c>
      <c r="P122">
        <v>1</v>
      </c>
      <c r="Q122" t="str">
        <f>"80"</f>
        <v>80</v>
      </c>
    </row>
    <row r="123" spans="1:17" x14ac:dyDescent="0.2">
      <c r="A123" t="str">
        <f>"Unknown"</f>
        <v>Unknown</v>
      </c>
      <c r="B123" t="str">
        <f>"NPOC/TN"</f>
        <v>NPOC/TN</v>
      </c>
      <c r="C123" t="str">
        <f>"1116"</f>
        <v>1116</v>
      </c>
      <c r="D123" t="str">
        <f>"DI"</f>
        <v>DI</v>
      </c>
      <c r="E123" t="str">
        <f>"C:\TOC3201\Methods\Itamar\acid_sample.met"</f>
        <v>C:\TOC3201\Methods\Itamar\acid_sample.met</v>
      </c>
      <c r="F123" t="str">
        <f>"C:\TOC3201\CalCurves\Itamar\N_cal_25ppm_acid_laurel.2019_08_21_15_23_49.cal"</f>
        <v>C:\TOC3201\CalCurves\Itamar\N_cal_25ppm_acid_laurel.2019_08_21_15_23_49.cal</v>
      </c>
      <c r="G123">
        <v>1</v>
      </c>
      <c r="H123" t="str">
        <f>""</f>
        <v/>
      </c>
      <c r="I123" t="str">
        <f>"8/21/2019 8:23:28 PM"</f>
        <v>8/21/2019 8:23:28 PM</v>
      </c>
      <c r="J123" t="str">
        <f>"1"</f>
        <v>1</v>
      </c>
      <c r="K123" t="str">
        <f>"2"</f>
        <v>2</v>
      </c>
      <c r="L123" t="str">
        <f>"TN"</f>
        <v>TN</v>
      </c>
      <c r="M123" t="str">
        <f>"13.29"</f>
        <v>13.29</v>
      </c>
      <c r="N123" t="str">
        <f>"3.799"</f>
        <v>3.799</v>
      </c>
      <c r="O123" t="str">
        <f>"NPOC:21.53mg/L TN:3.788mg/L"</f>
        <v>NPOC:21.53mg/L TN:3.788mg/L</v>
      </c>
      <c r="P123">
        <v>0</v>
      </c>
      <c r="Q123" t="str">
        <f>"80"</f>
        <v>80</v>
      </c>
    </row>
    <row r="124" spans="1:17" x14ac:dyDescent="0.2">
      <c r="A124" t="str">
        <f>"Unknown"</f>
        <v>Unknown</v>
      </c>
      <c r="B124" t="str">
        <f>"NPOC/TN"</f>
        <v>NPOC/TN</v>
      </c>
      <c r="C124" t="str">
        <f>"1116"</f>
        <v>1116</v>
      </c>
      <c r="D124" t="str">
        <f>"DI"</f>
        <v>DI</v>
      </c>
      <c r="E124" t="str">
        <f>"C:\TOC3201\Methods\Itamar\acid_sample.met"</f>
        <v>C:\TOC3201\Methods\Itamar\acid_sample.met</v>
      </c>
      <c r="F124" t="str">
        <f>"C:\TOC3201\CalCurves\Itamar\N_cal_25ppm_acid_laurel.2019_08_21_15_23_49.cal"</f>
        <v>C:\TOC3201\CalCurves\Itamar\N_cal_25ppm_acid_laurel.2019_08_21_15_23_49.cal</v>
      </c>
      <c r="G124">
        <v>1</v>
      </c>
      <c r="H124" t="str">
        <f>""</f>
        <v/>
      </c>
      <c r="I124" t="str">
        <f>"8/21/2019 8:27:23 PM"</f>
        <v>8/21/2019 8:27:23 PM</v>
      </c>
      <c r="J124" t="str">
        <f>"1"</f>
        <v>1</v>
      </c>
      <c r="K124" t="str">
        <f>"3"</f>
        <v>3</v>
      </c>
      <c r="L124" t="str">
        <f>"TN"</f>
        <v>TN</v>
      </c>
      <c r="M124" t="str">
        <f>"13.43"</f>
        <v>13.43</v>
      </c>
      <c r="N124" t="str">
        <f>"3.838"</f>
        <v>3.838</v>
      </c>
      <c r="O124" t="str">
        <f>"NPOC:21.53mg/L TN:3.788mg/L"</f>
        <v>NPOC:21.53mg/L TN:3.788mg/L</v>
      </c>
      <c r="P124">
        <v>0</v>
      </c>
      <c r="Q124" t="str">
        <f>"80"</f>
        <v>80</v>
      </c>
    </row>
    <row r="125" spans="1:17" x14ac:dyDescent="0.2">
      <c r="A125" t="str">
        <f>"Unknown"</f>
        <v>Unknown</v>
      </c>
      <c r="B125" t="str">
        <f>"NPOC/TN"</f>
        <v>NPOC/TN</v>
      </c>
      <c r="C125" t="str">
        <f>"1116"</f>
        <v>1116</v>
      </c>
      <c r="D125" t="str">
        <f>"DI"</f>
        <v>DI</v>
      </c>
      <c r="E125" t="str">
        <f>"C:\TOC3201\Methods\Itamar\acid_sample.met"</f>
        <v>C:\TOC3201\Methods\Itamar\acid_sample.met</v>
      </c>
      <c r="F125" t="str">
        <f>"C:\TOC3201\CalCurves\Itamar\N_cal_25ppm_acid_laurel.2019_08_21_15_23_49.cal"</f>
        <v>C:\TOC3201\CalCurves\Itamar\N_cal_25ppm_acid_laurel.2019_08_21_15_23_49.cal</v>
      </c>
      <c r="G125">
        <v>1</v>
      </c>
      <c r="H125" t="str">
        <f>""</f>
        <v/>
      </c>
      <c r="I125" t="str">
        <f>"8/21/2019 8:31:18 PM"</f>
        <v>8/21/2019 8:31:18 PM</v>
      </c>
      <c r="J125" t="str">
        <f>"1"</f>
        <v>1</v>
      </c>
      <c r="K125" t="str">
        <f>"4"</f>
        <v>4</v>
      </c>
      <c r="L125" t="str">
        <f>"TN"</f>
        <v>TN</v>
      </c>
      <c r="M125" t="str">
        <f>"13.85"</f>
        <v>13.85</v>
      </c>
      <c r="N125" t="str">
        <f>"3.953"</f>
        <v>3.953</v>
      </c>
      <c r="O125" t="str">
        <f>"NPOC:21.53mg/L TN:3.788mg/L"</f>
        <v>NPOC:21.53mg/L TN:3.788mg/L</v>
      </c>
      <c r="P125">
        <v>1</v>
      </c>
      <c r="Q125" t="str">
        <f>"80"</f>
        <v>80</v>
      </c>
    </row>
    <row r="126" spans="1:17" x14ac:dyDescent="0.2">
      <c r="A126" t="str">
        <f>"Unknown"</f>
        <v>Unknown</v>
      </c>
      <c r="B126" t="str">
        <f>"NPOC/TN"</f>
        <v>NPOC/TN</v>
      </c>
      <c r="C126" t="str">
        <f>"1116"</f>
        <v>1116</v>
      </c>
      <c r="D126" t="str">
        <f>"DI"</f>
        <v>DI</v>
      </c>
      <c r="E126" t="str">
        <f>"C:\TOC3201\Methods\Itamar\acid_sample.met"</f>
        <v>C:\TOC3201\Methods\Itamar\acid_sample.met</v>
      </c>
      <c r="F126" t="str">
        <f>"C:\TOC3201\CalCurves\Itamar\N_cal_25ppm_acid_laurel.2019_08_21_15_23_49.cal"</f>
        <v>C:\TOC3201\CalCurves\Itamar\N_cal_25ppm_acid_laurel.2019_08_21_15_23_49.cal</v>
      </c>
      <c r="G126">
        <v>1</v>
      </c>
      <c r="H126" t="str">
        <f>""</f>
        <v/>
      </c>
      <c r="I126" t="str">
        <f>"8/21/2019 8:35:13 PM"</f>
        <v>8/21/2019 8:35:13 PM</v>
      </c>
      <c r="J126" t="str">
        <f>"1"</f>
        <v>1</v>
      </c>
      <c r="K126" t="str">
        <f>"5"</f>
        <v>5</v>
      </c>
      <c r="L126" t="str">
        <f>"TN"</f>
        <v>TN</v>
      </c>
      <c r="M126" t="str">
        <f>"13.03"</f>
        <v>13.03</v>
      </c>
      <c r="N126" t="str">
        <f>"3.728"</f>
        <v>3.728</v>
      </c>
      <c r="O126" t="str">
        <f>"NPOC:21.53mg/L TN:3.788mg/L"</f>
        <v>NPOC:21.53mg/L TN:3.788mg/L</v>
      </c>
      <c r="P126">
        <v>0</v>
      </c>
      <c r="Q126" t="str">
        <f>"80"</f>
        <v>80</v>
      </c>
    </row>
    <row r="127" spans="1:17" x14ac:dyDescent="0.2">
      <c r="A127" t="str">
        <f>"Unknown"</f>
        <v>Unknown</v>
      </c>
      <c r="B127" t="str">
        <f>"NPOC/TN"</f>
        <v>NPOC/TN</v>
      </c>
      <c r="C127" t="str">
        <f>"1118"</f>
        <v>1118</v>
      </c>
      <c r="D127" t="str">
        <f>"DI"</f>
        <v>DI</v>
      </c>
      <c r="E127" t="str">
        <f>"C:\TOC3201\Methods\Itamar\acid_sample.met"</f>
        <v>C:\TOC3201\Methods\Itamar\acid_sample.met</v>
      </c>
      <c r="F127" t="str">
        <f>"C:\TOC3201\CalCurves\Itamar\C_cal_100ppm_acid_laurel.2019_08_21_13_17_46.cal"</f>
        <v>C:\TOC3201\CalCurves\Itamar\C_cal_100ppm_acid_laurel.2019_08_21_13_17_46.cal</v>
      </c>
      <c r="G127">
        <v>1</v>
      </c>
      <c r="H127" t="str">
        <f>""</f>
        <v/>
      </c>
      <c r="I127" t="str">
        <f>"8/21/2019 8:45:50 PM"</f>
        <v>8/21/2019 8:45:50 PM</v>
      </c>
      <c r="J127" t="str">
        <f>"1"</f>
        <v>1</v>
      </c>
      <c r="K127" t="str">
        <f>"1"</f>
        <v>1</v>
      </c>
      <c r="L127" t="str">
        <f>"NPOC"</f>
        <v>NPOC</v>
      </c>
      <c r="M127" t="str">
        <f>"266.0"</f>
        <v>266.0</v>
      </c>
      <c r="N127" t="str">
        <f>"54.06"</f>
        <v>54.06</v>
      </c>
      <c r="O127" t="str">
        <f>"NPOC:54.73mg/L TN:9.529mg/L"</f>
        <v>NPOC:54.73mg/L TN:9.529mg/L</v>
      </c>
      <c r="P127">
        <v>0</v>
      </c>
      <c r="Q127" t="str">
        <f>"80"</f>
        <v>80</v>
      </c>
    </row>
    <row r="128" spans="1:17" x14ac:dyDescent="0.2">
      <c r="A128" t="str">
        <f>"Unknown"</f>
        <v>Unknown</v>
      </c>
      <c r="B128" t="str">
        <f>"NPOC/TN"</f>
        <v>NPOC/TN</v>
      </c>
      <c r="C128" t="str">
        <f>"1118"</f>
        <v>1118</v>
      </c>
      <c r="D128" t="str">
        <f>"DI"</f>
        <v>DI</v>
      </c>
      <c r="E128" t="str">
        <f>"C:\TOC3201\Methods\Itamar\acid_sample.met"</f>
        <v>C:\TOC3201\Methods\Itamar\acid_sample.met</v>
      </c>
      <c r="F128" t="str">
        <f>"C:\TOC3201\CalCurves\Itamar\C_cal_100ppm_acid_laurel.2019_08_21_13_17_46.cal"</f>
        <v>C:\TOC3201\CalCurves\Itamar\C_cal_100ppm_acid_laurel.2019_08_21_13_17_46.cal</v>
      </c>
      <c r="G128">
        <v>1</v>
      </c>
      <c r="H128" t="str">
        <f>""</f>
        <v/>
      </c>
      <c r="I128" t="str">
        <f>"8/21/2019 8:49:53 PM"</f>
        <v>8/21/2019 8:49:53 PM</v>
      </c>
      <c r="J128" t="str">
        <f>"1"</f>
        <v>1</v>
      </c>
      <c r="K128" t="str">
        <f>"2"</f>
        <v>2</v>
      </c>
      <c r="L128" t="str">
        <f>"NPOC"</f>
        <v>NPOC</v>
      </c>
      <c r="M128" t="str">
        <f>"259.8"</f>
        <v>259.8</v>
      </c>
      <c r="N128" t="str">
        <f>"52.79"</f>
        <v>52.79</v>
      </c>
      <c r="O128" t="str">
        <f>"NPOC:54.73mg/L TN:9.529mg/L"</f>
        <v>NPOC:54.73mg/L TN:9.529mg/L</v>
      </c>
      <c r="P128">
        <v>1</v>
      </c>
      <c r="Q128" t="str">
        <f>"80"</f>
        <v>80</v>
      </c>
    </row>
    <row r="129" spans="1:17" x14ac:dyDescent="0.2">
      <c r="A129" t="str">
        <f>"Unknown"</f>
        <v>Unknown</v>
      </c>
      <c r="B129" t="str">
        <f>"NPOC/TN"</f>
        <v>NPOC/TN</v>
      </c>
      <c r="C129" t="str">
        <f>"1118"</f>
        <v>1118</v>
      </c>
      <c r="D129" t="str">
        <f>"DI"</f>
        <v>DI</v>
      </c>
      <c r="E129" t="str">
        <f>"C:\TOC3201\Methods\Itamar\acid_sample.met"</f>
        <v>C:\TOC3201\Methods\Itamar\acid_sample.met</v>
      </c>
      <c r="F129" t="str">
        <f>"C:\TOC3201\CalCurves\Itamar\C_cal_100ppm_acid_laurel.2019_08_21_13_17_46.cal"</f>
        <v>C:\TOC3201\CalCurves\Itamar\C_cal_100ppm_acid_laurel.2019_08_21_13_17_46.cal</v>
      </c>
      <c r="G129">
        <v>1</v>
      </c>
      <c r="H129" t="str">
        <f>""</f>
        <v/>
      </c>
      <c r="I129" t="str">
        <f>"8/21/2019 8:54:08 PM"</f>
        <v>8/21/2019 8:54:08 PM</v>
      </c>
      <c r="J129" t="str">
        <f>"1"</f>
        <v>1</v>
      </c>
      <c r="K129" t="str">
        <f>"3"</f>
        <v>3</v>
      </c>
      <c r="L129" t="str">
        <f>"NPOC"</f>
        <v>NPOC</v>
      </c>
      <c r="M129" t="str">
        <f>"273.2"</f>
        <v>273.2</v>
      </c>
      <c r="N129" t="str">
        <f>"55.53"</f>
        <v>55.53</v>
      </c>
      <c r="O129" t="str">
        <f>"NPOC:54.73mg/L TN:9.529mg/L"</f>
        <v>NPOC:54.73mg/L TN:9.529mg/L</v>
      </c>
      <c r="P129">
        <v>0</v>
      </c>
      <c r="Q129" t="str">
        <f>"80"</f>
        <v>80</v>
      </c>
    </row>
    <row r="130" spans="1:17" x14ac:dyDescent="0.2">
      <c r="A130" t="str">
        <f>"Unknown"</f>
        <v>Unknown</v>
      </c>
      <c r="B130" t="str">
        <f>"NPOC/TN"</f>
        <v>NPOC/TN</v>
      </c>
      <c r="C130" t="str">
        <f>"1118"</f>
        <v>1118</v>
      </c>
      <c r="D130" t="str">
        <f>"DI"</f>
        <v>DI</v>
      </c>
      <c r="E130" t="str">
        <f>"C:\TOC3201\Methods\Itamar\acid_sample.met"</f>
        <v>C:\TOC3201\Methods\Itamar\acid_sample.met</v>
      </c>
      <c r="F130" t="str">
        <f>"C:\TOC3201\CalCurves\Itamar\C_cal_100ppm_acid_laurel.2019_08_21_13_17_46.cal"</f>
        <v>C:\TOC3201\CalCurves\Itamar\C_cal_100ppm_acid_laurel.2019_08_21_13_17_46.cal</v>
      </c>
      <c r="G130">
        <v>1</v>
      </c>
      <c r="H130" t="str">
        <f>""</f>
        <v/>
      </c>
      <c r="I130" t="str">
        <f>"8/21/2019 8:58:16 PM"</f>
        <v>8/21/2019 8:58:16 PM</v>
      </c>
      <c r="J130" t="str">
        <f>"1"</f>
        <v>1</v>
      </c>
      <c r="K130" t="str">
        <f>"4"</f>
        <v>4</v>
      </c>
      <c r="L130" t="str">
        <f>"NPOC"</f>
        <v>NPOC</v>
      </c>
      <c r="M130" t="str">
        <f>"268.6"</f>
        <v>268.6</v>
      </c>
      <c r="N130" t="str">
        <f>"54.59"</f>
        <v>54.59</v>
      </c>
      <c r="O130" t="str">
        <f>"NPOC:54.73mg/L TN:9.529mg/L"</f>
        <v>NPOC:54.73mg/L TN:9.529mg/L</v>
      </c>
      <c r="P130">
        <v>0</v>
      </c>
      <c r="Q130" t="str">
        <f>"80"</f>
        <v>80</v>
      </c>
    </row>
    <row r="131" spans="1:17" x14ac:dyDescent="0.2">
      <c r="A131" t="str">
        <f>"Unknown"</f>
        <v>Unknown</v>
      </c>
      <c r="B131" t="str">
        <f>"NPOC/TN"</f>
        <v>NPOC/TN</v>
      </c>
      <c r="C131" t="str">
        <f>"1118"</f>
        <v>1118</v>
      </c>
      <c r="D131" t="str">
        <f>"DI"</f>
        <v>DI</v>
      </c>
      <c r="E131" t="str">
        <f>"C:\TOC3201\Methods\Itamar\acid_sample.met"</f>
        <v>C:\TOC3201\Methods\Itamar\acid_sample.met</v>
      </c>
      <c r="F131" t="str">
        <f>"C:\TOC3201\CalCurves\Itamar\N_cal_25ppm_acid_laurel.2019_08_21_15_23_49.cal"</f>
        <v>C:\TOC3201\CalCurves\Itamar\N_cal_25ppm_acid_laurel.2019_08_21_15_23_49.cal</v>
      </c>
      <c r="G131">
        <v>1</v>
      </c>
      <c r="H131" t="str">
        <f>""</f>
        <v/>
      </c>
      <c r="I131" t="str">
        <f>"8/21/2019 8:45:50 PM"</f>
        <v>8/21/2019 8:45:50 PM</v>
      </c>
      <c r="J131" t="str">
        <f>"1"</f>
        <v>1</v>
      </c>
      <c r="K131" t="str">
        <f>"1"</f>
        <v>1</v>
      </c>
      <c r="L131" t="str">
        <f>"TN"</f>
        <v>TN</v>
      </c>
      <c r="M131" t="str">
        <f>"33.95"</f>
        <v>33.95</v>
      </c>
      <c r="N131" t="str">
        <f>"9.466"</f>
        <v>9.466</v>
      </c>
      <c r="O131" t="str">
        <f>"NPOC:54.73mg/L TN:9.529mg/L"</f>
        <v>NPOC:54.73mg/L TN:9.529mg/L</v>
      </c>
      <c r="P131">
        <v>0</v>
      </c>
      <c r="Q131" t="str">
        <f>"80"</f>
        <v>80</v>
      </c>
    </row>
    <row r="132" spans="1:17" x14ac:dyDescent="0.2">
      <c r="A132" t="str">
        <f>"Unknown"</f>
        <v>Unknown</v>
      </c>
      <c r="B132" t="str">
        <f>"NPOC/TN"</f>
        <v>NPOC/TN</v>
      </c>
      <c r="C132" t="str">
        <f>"1118"</f>
        <v>1118</v>
      </c>
      <c r="D132" t="str">
        <f>"DI"</f>
        <v>DI</v>
      </c>
      <c r="E132" t="str">
        <f>"C:\TOC3201\Methods\Itamar\acid_sample.met"</f>
        <v>C:\TOC3201\Methods\Itamar\acid_sample.met</v>
      </c>
      <c r="F132" t="str">
        <f>"C:\TOC3201\CalCurves\Itamar\N_cal_25ppm_acid_laurel.2019_08_21_15_23_49.cal"</f>
        <v>C:\TOC3201\CalCurves\Itamar\N_cal_25ppm_acid_laurel.2019_08_21_15_23_49.cal</v>
      </c>
      <c r="G132">
        <v>1</v>
      </c>
      <c r="H132" t="str">
        <f>""</f>
        <v/>
      </c>
      <c r="I132" t="str">
        <f>"8/21/2019 8:49:53 PM"</f>
        <v>8/21/2019 8:49:53 PM</v>
      </c>
      <c r="J132" t="str">
        <f>"1"</f>
        <v>1</v>
      </c>
      <c r="K132" t="str">
        <f>"2"</f>
        <v>2</v>
      </c>
      <c r="L132" t="str">
        <f>"TN"</f>
        <v>TN</v>
      </c>
      <c r="M132" t="str">
        <f>"34.01"</f>
        <v>34.01</v>
      </c>
      <c r="N132" t="str">
        <f>"9.482"</f>
        <v>9.482</v>
      </c>
      <c r="O132" t="str">
        <f>"NPOC:54.73mg/L TN:9.529mg/L"</f>
        <v>NPOC:54.73mg/L TN:9.529mg/L</v>
      </c>
      <c r="P132">
        <v>0</v>
      </c>
      <c r="Q132" t="str">
        <f>"80"</f>
        <v>80</v>
      </c>
    </row>
    <row r="133" spans="1:17" x14ac:dyDescent="0.2">
      <c r="A133" t="str">
        <f>"Unknown"</f>
        <v>Unknown</v>
      </c>
      <c r="B133" t="str">
        <f>"NPOC/TN"</f>
        <v>NPOC/TN</v>
      </c>
      <c r="C133" t="str">
        <f>"1118"</f>
        <v>1118</v>
      </c>
      <c r="D133" t="str">
        <f>"DI"</f>
        <v>DI</v>
      </c>
      <c r="E133" t="str">
        <f>"C:\TOC3201\Methods\Itamar\acid_sample.met"</f>
        <v>C:\TOC3201\Methods\Itamar\acid_sample.met</v>
      </c>
      <c r="F133" t="str">
        <f>"C:\TOC3201\CalCurves\Itamar\N_cal_25ppm_acid_laurel.2019_08_21_15_23_49.cal"</f>
        <v>C:\TOC3201\CalCurves\Itamar\N_cal_25ppm_acid_laurel.2019_08_21_15_23_49.cal</v>
      </c>
      <c r="G133">
        <v>1</v>
      </c>
      <c r="H133" t="str">
        <f>""</f>
        <v/>
      </c>
      <c r="I133" t="str">
        <f>"8/21/2019 8:54:08 PM"</f>
        <v>8/21/2019 8:54:08 PM</v>
      </c>
      <c r="J133" t="str">
        <f>"1"</f>
        <v>1</v>
      </c>
      <c r="K133" t="str">
        <f>"3"</f>
        <v>3</v>
      </c>
      <c r="L133" t="str">
        <f>"TN"</f>
        <v>TN</v>
      </c>
      <c r="M133" t="str">
        <f>"35.81"</f>
        <v>35.81</v>
      </c>
      <c r="N133" t="str">
        <f>"9.976"</f>
        <v>9.976</v>
      </c>
      <c r="O133" t="str">
        <f>"NPOC:54.73mg/L TN:9.529mg/L"</f>
        <v>NPOC:54.73mg/L TN:9.529mg/L</v>
      </c>
      <c r="P133">
        <v>1</v>
      </c>
      <c r="Q133" t="str">
        <f>"80"</f>
        <v>80</v>
      </c>
    </row>
    <row r="134" spans="1:17" x14ac:dyDescent="0.2">
      <c r="A134" t="str">
        <f>"Unknown"</f>
        <v>Unknown</v>
      </c>
      <c r="B134" t="str">
        <f>"NPOC/TN"</f>
        <v>NPOC/TN</v>
      </c>
      <c r="C134" t="str">
        <f>"1118"</f>
        <v>1118</v>
      </c>
      <c r="D134" t="str">
        <f>"DI"</f>
        <v>DI</v>
      </c>
      <c r="E134" t="str">
        <f>"C:\TOC3201\Methods\Itamar\acid_sample.met"</f>
        <v>C:\TOC3201\Methods\Itamar\acid_sample.met</v>
      </c>
      <c r="F134" t="str">
        <f>"C:\TOC3201\CalCurves\Itamar\N_cal_25ppm_acid_laurel.2019_08_21_15_23_49.cal"</f>
        <v>C:\TOC3201\CalCurves\Itamar\N_cal_25ppm_acid_laurel.2019_08_21_15_23_49.cal</v>
      </c>
      <c r="G134">
        <v>1</v>
      </c>
      <c r="H134" t="str">
        <f>""</f>
        <v/>
      </c>
      <c r="I134" t="str">
        <f>"8/21/2019 8:58:16 PM"</f>
        <v>8/21/2019 8:58:16 PM</v>
      </c>
      <c r="J134" t="str">
        <f>"1"</f>
        <v>1</v>
      </c>
      <c r="K134" t="str">
        <f>"4"</f>
        <v>4</v>
      </c>
      <c r="L134" t="str">
        <f>"TN"</f>
        <v>TN</v>
      </c>
      <c r="M134" t="str">
        <f>"34.58"</f>
        <v>34.58</v>
      </c>
      <c r="N134" t="str">
        <f>"9.639"</f>
        <v>9.639</v>
      </c>
      <c r="O134" t="str">
        <f>"NPOC:54.73mg/L TN:9.529mg/L"</f>
        <v>NPOC:54.73mg/L TN:9.529mg/L</v>
      </c>
      <c r="P134">
        <v>0</v>
      </c>
      <c r="Q134" t="str">
        <f>"80"</f>
        <v>80</v>
      </c>
    </row>
    <row r="135" spans="1:17" x14ac:dyDescent="0.2">
      <c r="A135" t="str">
        <f>"Unknown"</f>
        <v>Unknown</v>
      </c>
      <c r="B135" t="str">
        <f>"NPOC/TN"</f>
        <v>NPOC/TN</v>
      </c>
      <c r="C135" t="str">
        <f>"1120"</f>
        <v>1120</v>
      </c>
      <c r="D135" t="str">
        <f>"DI"</f>
        <v>DI</v>
      </c>
      <c r="E135" t="str">
        <f>"C:\TOC3201\Methods\Itamar\acid_sample.met"</f>
        <v>C:\TOC3201\Methods\Itamar\acid_sample.met</v>
      </c>
      <c r="F135" t="str">
        <f>"C:\TOC3201\CalCurves\Itamar\C_cal_100ppm_acid_laurel.2019_08_21_13_17_46.cal"</f>
        <v>C:\TOC3201\CalCurves\Itamar\C_cal_100ppm_acid_laurel.2019_08_21_13_17_46.cal</v>
      </c>
      <c r="G135">
        <v>1</v>
      </c>
      <c r="H135" t="str">
        <f>""</f>
        <v/>
      </c>
      <c r="I135" t="str">
        <f>"8/21/2019 9:08:56 PM"</f>
        <v>8/21/2019 9:08:56 PM</v>
      </c>
      <c r="J135" t="str">
        <f>"1"</f>
        <v>1</v>
      </c>
      <c r="K135" t="str">
        <f>"1"</f>
        <v>1</v>
      </c>
      <c r="L135" t="str">
        <f>"NPOC"</f>
        <v>NPOC</v>
      </c>
      <c r="M135" t="str">
        <f>"269.2"</f>
        <v>269.2</v>
      </c>
      <c r="N135" t="str">
        <f>"54.72"</f>
        <v>54.72</v>
      </c>
      <c r="O135" t="str">
        <f>"NPOC:55.91mg/L TN:9.987mg/L"</f>
        <v>NPOC:55.91mg/L TN:9.987mg/L</v>
      </c>
      <c r="P135">
        <v>0</v>
      </c>
      <c r="Q135" t="str">
        <f>"80"</f>
        <v>80</v>
      </c>
    </row>
    <row r="136" spans="1:17" x14ac:dyDescent="0.2">
      <c r="A136" t="str">
        <f>"Unknown"</f>
        <v>Unknown</v>
      </c>
      <c r="B136" t="str">
        <f>"NPOC/TN"</f>
        <v>NPOC/TN</v>
      </c>
      <c r="C136" t="str">
        <f>"1120"</f>
        <v>1120</v>
      </c>
      <c r="D136" t="str">
        <f>"DI"</f>
        <v>DI</v>
      </c>
      <c r="E136" t="str">
        <f>"C:\TOC3201\Methods\Itamar\acid_sample.met"</f>
        <v>C:\TOC3201\Methods\Itamar\acid_sample.met</v>
      </c>
      <c r="F136" t="str">
        <f>"C:\TOC3201\CalCurves\Itamar\C_cal_100ppm_acid_laurel.2019_08_21_13_17_46.cal"</f>
        <v>C:\TOC3201\CalCurves\Itamar\C_cal_100ppm_acid_laurel.2019_08_21_13_17_46.cal</v>
      </c>
      <c r="G136">
        <v>1</v>
      </c>
      <c r="H136" t="str">
        <f>""</f>
        <v/>
      </c>
      <c r="I136" t="str">
        <f>"8/21/2019 9:12:57 PM"</f>
        <v>8/21/2019 9:12:57 PM</v>
      </c>
      <c r="J136" t="str">
        <f>"1"</f>
        <v>1</v>
      </c>
      <c r="K136" t="str">
        <f>"2"</f>
        <v>2</v>
      </c>
      <c r="L136" t="str">
        <f>"NPOC"</f>
        <v>NPOC</v>
      </c>
      <c r="M136" t="str">
        <f>"261.6"</f>
        <v>261.6</v>
      </c>
      <c r="N136" t="str">
        <f>"53.16"</f>
        <v>53.16</v>
      </c>
      <c r="O136" t="str">
        <f>"NPOC:55.91mg/L TN:9.987mg/L"</f>
        <v>NPOC:55.91mg/L TN:9.987mg/L</v>
      </c>
      <c r="P136">
        <v>1</v>
      </c>
      <c r="Q136" t="str">
        <f>"80"</f>
        <v>80</v>
      </c>
    </row>
    <row r="137" spans="1:17" x14ac:dyDescent="0.2">
      <c r="A137" t="str">
        <f>"Unknown"</f>
        <v>Unknown</v>
      </c>
      <c r="B137" t="str">
        <f>"NPOC/TN"</f>
        <v>NPOC/TN</v>
      </c>
      <c r="C137" t="str">
        <f>"1120"</f>
        <v>1120</v>
      </c>
      <c r="D137" t="str">
        <f>"DI"</f>
        <v>DI</v>
      </c>
      <c r="E137" t="str">
        <f>"C:\TOC3201\Methods\Itamar\acid_sample.met"</f>
        <v>C:\TOC3201\Methods\Itamar\acid_sample.met</v>
      </c>
      <c r="F137" t="str">
        <f>"C:\TOC3201\CalCurves\Itamar\C_cal_100ppm_acid_laurel.2019_08_21_13_17_46.cal"</f>
        <v>C:\TOC3201\CalCurves\Itamar\C_cal_100ppm_acid_laurel.2019_08_21_13_17_46.cal</v>
      </c>
      <c r="G137">
        <v>1</v>
      </c>
      <c r="H137" t="str">
        <f>""</f>
        <v/>
      </c>
      <c r="I137" t="str">
        <f>"8/21/2019 9:17:08 PM"</f>
        <v>8/21/2019 9:17:08 PM</v>
      </c>
      <c r="J137" t="str">
        <f>"1"</f>
        <v>1</v>
      </c>
      <c r="K137" t="str">
        <f>"3"</f>
        <v>3</v>
      </c>
      <c r="L137" t="str">
        <f>"NPOC"</f>
        <v>NPOC</v>
      </c>
      <c r="M137" t="str">
        <f>"279.6"</f>
        <v>279.6</v>
      </c>
      <c r="N137" t="str">
        <f>"56.84"</f>
        <v>56.84</v>
      </c>
      <c r="O137" t="str">
        <f>"NPOC:55.91mg/L TN:9.987mg/L"</f>
        <v>NPOC:55.91mg/L TN:9.987mg/L</v>
      </c>
      <c r="P137">
        <v>0</v>
      </c>
      <c r="Q137" t="str">
        <f>"80"</f>
        <v>80</v>
      </c>
    </row>
    <row r="138" spans="1:17" x14ac:dyDescent="0.2">
      <c r="A138" t="str">
        <f>"Unknown"</f>
        <v>Unknown</v>
      </c>
      <c r="B138" t="str">
        <f>"NPOC/TN"</f>
        <v>NPOC/TN</v>
      </c>
      <c r="C138" t="str">
        <f>"1120"</f>
        <v>1120</v>
      </c>
      <c r="D138" t="str">
        <f>"DI"</f>
        <v>DI</v>
      </c>
      <c r="E138" t="str">
        <f>"C:\TOC3201\Methods\Itamar\acid_sample.met"</f>
        <v>C:\TOC3201\Methods\Itamar\acid_sample.met</v>
      </c>
      <c r="F138" t="str">
        <f>"C:\TOC3201\CalCurves\Itamar\C_cal_100ppm_acid_laurel.2019_08_21_13_17_46.cal"</f>
        <v>C:\TOC3201\CalCurves\Itamar\C_cal_100ppm_acid_laurel.2019_08_21_13_17_46.cal</v>
      </c>
      <c r="G138">
        <v>1</v>
      </c>
      <c r="H138" t="str">
        <f>""</f>
        <v/>
      </c>
      <c r="I138" t="str">
        <f>"8/21/2019 9:21:14 PM"</f>
        <v>8/21/2019 9:21:14 PM</v>
      </c>
      <c r="J138" t="str">
        <f>"1"</f>
        <v>1</v>
      </c>
      <c r="K138" t="str">
        <f>"4"</f>
        <v>4</v>
      </c>
      <c r="L138" t="str">
        <f>"NPOC"</f>
        <v>NPOC</v>
      </c>
      <c r="M138" t="str">
        <f>"276.3"</f>
        <v>276.3</v>
      </c>
      <c r="N138" t="str">
        <f>"56.17"</f>
        <v>56.17</v>
      </c>
      <c r="O138" t="str">
        <f>"NPOC:55.91mg/L TN:9.987mg/L"</f>
        <v>NPOC:55.91mg/L TN:9.987mg/L</v>
      </c>
      <c r="P138">
        <v>0</v>
      </c>
      <c r="Q138" t="str">
        <f>"80"</f>
        <v>80</v>
      </c>
    </row>
    <row r="139" spans="1:17" x14ac:dyDescent="0.2">
      <c r="A139" t="str">
        <f>"Unknown"</f>
        <v>Unknown</v>
      </c>
      <c r="B139" t="str">
        <f>"NPOC/TN"</f>
        <v>NPOC/TN</v>
      </c>
      <c r="C139" t="str">
        <f>"1120"</f>
        <v>1120</v>
      </c>
      <c r="D139" t="str">
        <f>"DI"</f>
        <v>DI</v>
      </c>
      <c r="E139" t="str">
        <f>"C:\TOC3201\Methods\Itamar\acid_sample.met"</f>
        <v>C:\TOC3201\Methods\Itamar\acid_sample.met</v>
      </c>
      <c r="F139" t="str">
        <f>"C:\TOC3201\CalCurves\Itamar\N_cal_25ppm_acid_laurel.2019_08_21_15_23_49.cal"</f>
        <v>C:\TOC3201\CalCurves\Itamar\N_cal_25ppm_acid_laurel.2019_08_21_15_23_49.cal</v>
      </c>
      <c r="G139">
        <v>1</v>
      </c>
      <c r="H139" t="str">
        <f>""</f>
        <v/>
      </c>
      <c r="I139" t="str">
        <f>"8/21/2019 9:08:56 PM"</f>
        <v>8/21/2019 9:08:56 PM</v>
      </c>
      <c r="J139" t="str">
        <f>"1"</f>
        <v>1</v>
      </c>
      <c r="K139" t="str">
        <f>"1"</f>
        <v>1</v>
      </c>
      <c r="L139" t="str">
        <f>"TN"</f>
        <v>TN</v>
      </c>
      <c r="M139" t="str">
        <f>"35.05"</f>
        <v>35.05</v>
      </c>
      <c r="N139" t="str">
        <f>"9.767"</f>
        <v>9.767</v>
      </c>
      <c r="O139" t="str">
        <f>"NPOC:55.91mg/L TN:9.987mg/L"</f>
        <v>NPOC:55.91mg/L TN:9.987mg/L</v>
      </c>
      <c r="P139">
        <v>0</v>
      </c>
      <c r="Q139" t="str">
        <f>"80"</f>
        <v>80</v>
      </c>
    </row>
    <row r="140" spans="1:17" x14ac:dyDescent="0.2">
      <c r="A140" t="str">
        <f>"Unknown"</f>
        <v>Unknown</v>
      </c>
      <c r="B140" t="str">
        <f>"NPOC/TN"</f>
        <v>NPOC/TN</v>
      </c>
      <c r="C140" t="str">
        <f>"1120"</f>
        <v>1120</v>
      </c>
      <c r="D140" t="str">
        <f>"DI"</f>
        <v>DI</v>
      </c>
      <c r="E140" t="str">
        <f>"C:\TOC3201\Methods\Itamar\acid_sample.met"</f>
        <v>C:\TOC3201\Methods\Itamar\acid_sample.met</v>
      </c>
      <c r="F140" t="str">
        <f>"C:\TOC3201\CalCurves\Itamar\N_cal_25ppm_acid_laurel.2019_08_21_15_23_49.cal"</f>
        <v>C:\TOC3201\CalCurves\Itamar\N_cal_25ppm_acid_laurel.2019_08_21_15_23_49.cal</v>
      </c>
      <c r="G140">
        <v>1</v>
      </c>
      <c r="H140" t="str">
        <f>""</f>
        <v/>
      </c>
      <c r="I140" t="str">
        <f>"8/21/2019 9:12:57 PM"</f>
        <v>8/21/2019 9:12:57 PM</v>
      </c>
      <c r="J140" t="str">
        <f>"1"</f>
        <v>1</v>
      </c>
      <c r="K140" t="str">
        <f>"2"</f>
        <v>2</v>
      </c>
      <c r="L140" t="str">
        <f>"TN"</f>
        <v>TN</v>
      </c>
      <c r="M140" t="str">
        <f>"34.29"</f>
        <v>34.29</v>
      </c>
      <c r="N140" t="str">
        <f>"9.559"</f>
        <v>9.559</v>
      </c>
      <c r="O140" t="str">
        <f>"NPOC:55.91mg/L TN:9.987mg/L"</f>
        <v>NPOC:55.91mg/L TN:9.987mg/L</v>
      </c>
      <c r="P140">
        <v>1</v>
      </c>
      <c r="Q140" t="str">
        <f>"80"</f>
        <v>80</v>
      </c>
    </row>
    <row r="141" spans="1:17" x14ac:dyDescent="0.2">
      <c r="A141" t="str">
        <f>"Unknown"</f>
        <v>Unknown</v>
      </c>
      <c r="B141" t="str">
        <f>"NPOC/TN"</f>
        <v>NPOC/TN</v>
      </c>
      <c r="C141" t="str">
        <f>"1120"</f>
        <v>1120</v>
      </c>
      <c r="D141" t="str">
        <f>"DI"</f>
        <v>DI</v>
      </c>
      <c r="E141" t="str">
        <f>"C:\TOC3201\Methods\Itamar\acid_sample.met"</f>
        <v>C:\TOC3201\Methods\Itamar\acid_sample.met</v>
      </c>
      <c r="F141" t="str">
        <f>"C:\TOC3201\CalCurves\Itamar\N_cal_25ppm_acid_laurel.2019_08_21_15_23_49.cal"</f>
        <v>C:\TOC3201\CalCurves\Itamar\N_cal_25ppm_acid_laurel.2019_08_21_15_23_49.cal</v>
      </c>
      <c r="G141">
        <v>1</v>
      </c>
      <c r="H141" t="str">
        <f>""</f>
        <v/>
      </c>
      <c r="I141" t="str">
        <f>"8/21/2019 9:17:08 PM"</f>
        <v>8/21/2019 9:17:08 PM</v>
      </c>
      <c r="J141" t="str">
        <f>"1"</f>
        <v>1</v>
      </c>
      <c r="K141" t="str">
        <f>"3"</f>
        <v>3</v>
      </c>
      <c r="L141" t="str">
        <f>"TN"</f>
        <v>TN</v>
      </c>
      <c r="M141" t="str">
        <f>"36.08"</f>
        <v>36.08</v>
      </c>
      <c r="N141" t="str">
        <f>"10.05"</f>
        <v>10.05</v>
      </c>
      <c r="O141" t="str">
        <f>"NPOC:55.91mg/L TN:9.987mg/L"</f>
        <v>NPOC:55.91mg/L TN:9.987mg/L</v>
      </c>
      <c r="P141">
        <v>0</v>
      </c>
      <c r="Q141" t="str">
        <f>"80"</f>
        <v>80</v>
      </c>
    </row>
    <row r="142" spans="1:17" x14ac:dyDescent="0.2">
      <c r="A142" t="str">
        <f>"Unknown"</f>
        <v>Unknown</v>
      </c>
      <c r="B142" t="str">
        <f>"NPOC/TN"</f>
        <v>NPOC/TN</v>
      </c>
      <c r="C142" t="str">
        <f>"1120"</f>
        <v>1120</v>
      </c>
      <c r="D142" t="str">
        <f>"DI"</f>
        <v>DI</v>
      </c>
      <c r="E142" t="str">
        <f>"C:\TOC3201\Methods\Itamar\acid_sample.met"</f>
        <v>C:\TOC3201\Methods\Itamar\acid_sample.met</v>
      </c>
      <c r="F142" t="str">
        <f>"C:\TOC3201\CalCurves\Itamar\N_cal_25ppm_acid_laurel.2019_08_21_15_23_49.cal"</f>
        <v>C:\TOC3201\CalCurves\Itamar\N_cal_25ppm_acid_laurel.2019_08_21_15_23_49.cal</v>
      </c>
      <c r="G142">
        <v>1</v>
      </c>
      <c r="H142" t="str">
        <f>""</f>
        <v/>
      </c>
      <c r="I142" t="str">
        <f>"8/21/2019 9:21:14 PM"</f>
        <v>8/21/2019 9:21:14 PM</v>
      </c>
      <c r="J142" t="str">
        <f>"1"</f>
        <v>1</v>
      </c>
      <c r="K142" t="str">
        <f>"4"</f>
        <v>4</v>
      </c>
      <c r="L142" t="str">
        <f>"TN"</f>
        <v>TN</v>
      </c>
      <c r="M142" t="str">
        <f>"36.42"</f>
        <v>36.42</v>
      </c>
      <c r="N142" t="str">
        <f>"10.14"</f>
        <v>10.14</v>
      </c>
      <c r="O142" t="str">
        <f>"NPOC:55.91mg/L TN:9.987mg/L"</f>
        <v>NPOC:55.91mg/L TN:9.987mg/L</v>
      </c>
      <c r="P142">
        <v>0</v>
      </c>
      <c r="Q142" t="str">
        <f>"80"</f>
        <v>80</v>
      </c>
    </row>
    <row r="143" spans="1:17" x14ac:dyDescent="0.2">
      <c r="A143" t="str">
        <f>"Unknown"</f>
        <v>Unknown</v>
      </c>
      <c r="B143" t="str">
        <f>"NPOC/TN"</f>
        <v>NPOC/TN</v>
      </c>
      <c r="C143" t="str">
        <f>"1122"</f>
        <v>1122</v>
      </c>
      <c r="D143" t="str">
        <f>"DI"</f>
        <v>DI</v>
      </c>
      <c r="E143" t="str">
        <f>"C:\TOC3201\Methods\Itamar\acid_sample.met"</f>
        <v>C:\TOC3201\Methods\Itamar\acid_sample.met</v>
      </c>
      <c r="F143" t="str">
        <f>"C:\TOC3201\CalCurves\Itamar\C_cal_100ppm_acid_laurel.2019_08_21_13_17_46.cal"</f>
        <v>C:\TOC3201\CalCurves\Itamar\C_cal_100ppm_acid_laurel.2019_08_21_13_17_46.cal</v>
      </c>
      <c r="G143">
        <v>1</v>
      </c>
      <c r="H143" t="str">
        <f>""</f>
        <v/>
      </c>
      <c r="I143" t="str">
        <f>"8/21/2019 9:31:53 PM"</f>
        <v>8/21/2019 9:31:53 PM</v>
      </c>
      <c r="J143" t="str">
        <f>"1"</f>
        <v>1</v>
      </c>
      <c r="K143" t="str">
        <f>"1"</f>
        <v>1</v>
      </c>
      <c r="L143" t="str">
        <f>"NPOC"</f>
        <v>NPOC</v>
      </c>
      <c r="M143" t="str">
        <f>"276.2"</f>
        <v>276.2</v>
      </c>
      <c r="N143" t="str">
        <f>"56.15"</f>
        <v>56.15</v>
      </c>
      <c r="O143" t="str">
        <f>"NPOC:57.14mg/L TN:9.902mg/L"</f>
        <v>NPOC:57.14mg/L TN:9.902mg/L</v>
      </c>
      <c r="P143">
        <v>0</v>
      </c>
      <c r="Q143" t="str">
        <f>"80"</f>
        <v>80</v>
      </c>
    </row>
    <row r="144" spans="1:17" x14ac:dyDescent="0.2">
      <c r="A144" t="str">
        <f>"Unknown"</f>
        <v>Unknown</v>
      </c>
      <c r="B144" t="str">
        <f>"NPOC/TN"</f>
        <v>NPOC/TN</v>
      </c>
      <c r="C144" t="str">
        <f>"1122"</f>
        <v>1122</v>
      </c>
      <c r="D144" t="str">
        <f>"DI"</f>
        <v>DI</v>
      </c>
      <c r="E144" t="str">
        <f>"C:\TOC3201\Methods\Itamar\acid_sample.met"</f>
        <v>C:\TOC3201\Methods\Itamar\acid_sample.met</v>
      </c>
      <c r="F144" t="str">
        <f>"C:\TOC3201\CalCurves\Itamar\C_cal_100ppm_acid_laurel.2019_08_21_13_17_46.cal"</f>
        <v>C:\TOC3201\CalCurves\Itamar\C_cal_100ppm_acid_laurel.2019_08_21_13_17_46.cal</v>
      </c>
      <c r="G144">
        <v>1</v>
      </c>
      <c r="H144" t="str">
        <f>""</f>
        <v/>
      </c>
      <c r="I144" t="str">
        <f>"8/21/2019 9:35:59 PM"</f>
        <v>8/21/2019 9:35:59 PM</v>
      </c>
      <c r="J144" t="str">
        <f>"1"</f>
        <v>1</v>
      </c>
      <c r="K144" t="str">
        <f>"2"</f>
        <v>2</v>
      </c>
      <c r="L144" t="str">
        <f>"NPOC"</f>
        <v>NPOC</v>
      </c>
      <c r="M144" t="str">
        <f>"266.3"</f>
        <v>266.3</v>
      </c>
      <c r="N144" t="str">
        <f>"54.12"</f>
        <v>54.12</v>
      </c>
      <c r="O144" t="str">
        <f>"NPOC:57.14mg/L TN:9.902mg/L"</f>
        <v>NPOC:57.14mg/L TN:9.902mg/L</v>
      </c>
      <c r="P144">
        <v>1</v>
      </c>
      <c r="Q144" t="str">
        <f>"80"</f>
        <v>80</v>
      </c>
    </row>
    <row r="145" spans="1:17" x14ac:dyDescent="0.2">
      <c r="A145" t="str">
        <f>"Unknown"</f>
        <v>Unknown</v>
      </c>
      <c r="B145" t="str">
        <f>"NPOC/TN"</f>
        <v>NPOC/TN</v>
      </c>
      <c r="C145" t="str">
        <f>"1122"</f>
        <v>1122</v>
      </c>
      <c r="D145" t="str">
        <f>"DI"</f>
        <v>DI</v>
      </c>
      <c r="E145" t="str">
        <f>"C:\TOC3201\Methods\Itamar\acid_sample.met"</f>
        <v>C:\TOC3201\Methods\Itamar\acid_sample.met</v>
      </c>
      <c r="F145" t="str">
        <f>"C:\TOC3201\CalCurves\Itamar\C_cal_100ppm_acid_laurel.2019_08_21_13_17_46.cal"</f>
        <v>C:\TOC3201\CalCurves\Itamar\C_cal_100ppm_acid_laurel.2019_08_21_13_17_46.cal</v>
      </c>
      <c r="G145">
        <v>1</v>
      </c>
      <c r="H145" t="str">
        <f>""</f>
        <v/>
      </c>
      <c r="I145" t="str">
        <f>"8/21/2019 9:40:12 PM"</f>
        <v>8/21/2019 9:40:12 PM</v>
      </c>
      <c r="J145" t="str">
        <f>"1"</f>
        <v>1</v>
      </c>
      <c r="K145" t="str">
        <f>"3"</f>
        <v>3</v>
      </c>
      <c r="L145" t="str">
        <f>"NPOC"</f>
        <v>NPOC</v>
      </c>
      <c r="M145" t="str">
        <f>"282.6"</f>
        <v>282.6</v>
      </c>
      <c r="N145" t="str">
        <f>"57.46"</f>
        <v>57.46</v>
      </c>
      <c r="O145" t="str">
        <f>"NPOC:57.14mg/L TN:9.902mg/L"</f>
        <v>NPOC:57.14mg/L TN:9.902mg/L</v>
      </c>
      <c r="P145">
        <v>0</v>
      </c>
      <c r="Q145" t="str">
        <f>"80"</f>
        <v>80</v>
      </c>
    </row>
    <row r="146" spans="1:17" x14ac:dyDescent="0.2">
      <c r="A146" t="str">
        <f>"Unknown"</f>
        <v>Unknown</v>
      </c>
      <c r="B146" t="str">
        <f>"NPOC/TN"</f>
        <v>NPOC/TN</v>
      </c>
      <c r="C146" t="str">
        <f>"1122"</f>
        <v>1122</v>
      </c>
      <c r="D146" t="str">
        <f>"DI"</f>
        <v>DI</v>
      </c>
      <c r="E146" t="str">
        <f>"C:\TOC3201\Methods\Itamar\acid_sample.met"</f>
        <v>C:\TOC3201\Methods\Itamar\acid_sample.met</v>
      </c>
      <c r="F146" t="str">
        <f>"C:\TOC3201\CalCurves\Itamar\C_cal_100ppm_acid_laurel.2019_08_21_13_17_46.cal"</f>
        <v>C:\TOC3201\CalCurves\Itamar\C_cal_100ppm_acid_laurel.2019_08_21_13_17_46.cal</v>
      </c>
      <c r="G146">
        <v>1</v>
      </c>
      <c r="H146" t="str">
        <f>""</f>
        <v/>
      </c>
      <c r="I146" t="str">
        <f>"8/21/2019 9:44:38 PM"</f>
        <v>8/21/2019 9:44:38 PM</v>
      </c>
      <c r="J146" t="str">
        <f>"1"</f>
        <v>1</v>
      </c>
      <c r="K146" t="str">
        <f>"4"</f>
        <v>4</v>
      </c>
      <c r="L146" t="str">
        <f>"NPOC"</f>
        <v>NPOC</v>
      </c>
      <c r="M146" t="str">
        <f>"284.4"</f>
        <v>284.4</v>
      </c>
      <c r="N146" t="str">
        <f>"57.82"</f>
        <v>57.82</v>
      </c>
      <c r="O146" t="str">
        <f>"NPOC:57.14mg/L TN:9.902mg/L"</f>
        <v>NPOC:57.14mg/L TN:9.902mg/L</v>
      </c>
      <c r="P146">
        <v>0</v>
      </c>
      <c r="Q146" t="str">
        <f>"80"</f>
        <v>80</v>
      </c>
    </row>
    <row r="147" spans="1:17" x14ac:dyDescent="0.2">
      <c r="A147" t="str">
        <f>"Unknown"</f>
        <v>Unknown</v>
      </c>
      <c r="B147" t="str">
        <f>"NPOC/TN"</f>
        <v>NPOC/TN</v>
      </c>
      <c r="C147" t="str">
        <f>"1122"</f>
        <v>1122</v>
      </c>
      <c r="D147" t="str">
        <f>"DI"</f>
        <v>DI</v>
      </c>
      <c r="E147" t="str">
        <f>"C:\TOC3201\Methods\Itamar\acid_sample.met"</f>
        <v>C:\TOC3201\Methods\Itamar\acid_sample.met</v>
      </c>
      <c r="F147" t="str">
        <f>"C:\TOC3201\CalCurves\Itamar\N_cal_25ppm_acid_laurel.2019_08_21_15_23_49.cal"</f>
        <v>C:\TOC3201\CalCurves\Itamar\N_cal_25ppm_acid_laurel.2019_08_21_15_23_49.cal</v>
      </c>
      <c r="G147">
        <v>1</v>
      </c>
      <c r="H147" t="str">
        <f>""</f>
        <v/>
      </c>
      <c r="I147" t="str">
        <f>"8/21/2019 9:31:53 PM"</f>
        <v>8/21/2019 9:31:53 PM</v>
      </c>
      <c r="J147" t="str">
        <f>"1"</f>
        <v>1</v>
      </c>
      <c r="K147" t="str">
        <f>"1"</f>
        <v>1</v>
      </c>
      <c r="L147" t="str">
        <f>"TN"</f>
        <v>TN</v>
      </c>
      <c r="M147" t="str">
        <f>"36.03"</f>
        <v>36.03</v>
      </c>
      <c r="N147" t="str">
        <f>"10.04"</f>
        <v>10.04</v>
      </c>
      <c r="O147" t="str">
        <f>"NPOC:57.14mg/L TN:9.902mg/L"</f>
        <v>NPOC:57.14mg/L TN:9.902mg/L</v>
      </c>
      <c r="P147">
        <v>0</v>
      </c>
      <c r="Q147" t="str">
        <f>"80"</f>
        <v>80</v>
      </c>
    </row>
    <row r="148" spans="1:17" x14ac:dyDescent="0.2">
      <c r="A148" t="str">
        <f>"Unknown"</f>
        <v>Unknown</v>
      </c>
      <c r="B148" t="str">
        <f>"NPOC/TN"</f>
        <v>NPOC/TN</v>
      </c>
      <c r="C148" t="str">
        <f>"1122"</f>
        <v>1122</v>
      </c>
      <c r="D148" t="str">
        <f>"DI"</f>
        <v>DI</v>
      </c>
      <c r="E148" t="str">
        <f>"C:\TOC3201\Methods\Itamar\acid_sample.met"</f>
        <v>C:\TOC3201\Methods\Itamar\acid_sample.met</v>
      </c>
      <c r="F148" t="str">
        <f>"C:\TOC3201\CalCurves\Itamar\N_cal_25ppm_acid_laurel.2019_08_21_15_23_49.cal"</f>
        <v>C:\TOC3201\CalCurves\Itamar\N_cal_25ppm_acid_laurel.2019_08_21_15_23_49.cal</v>
      </c>
      <c r="G148">
        <v>1</v>
      </c>
      <c r="H148" t="str">
        <f>""</f>
        <v/>
      </c>
      <c r="I148" t="str">
        <f>"8/21/2019 9:35:59 PM"</f>
        <v>8/21/2019 9:35:59 PM</v>
      </c>
      <c r="J148" t="str">
        <f>"1"</f>
        <v>1</v>
      </c>
      <c r="K148" t="str">
        <f>"2"</f>
        <v>2</v>
      </c>
      <c r="L148" t="str">
        <f>"TN"</f>
        <v>TN</v>
      </c>
      <c r="M148" t="str">
        <f>"35.77"</f>
        <v>35.77</v>
      </c>
      <c r="N148" t="str">
        <f>"9.965"</f>
        <v>9.965</v>
      </c>
      <c r="O148" t="str">
        <f>"NPOC:57.14mg/L TN:9.902mg/L"</f>
        <v>NPOC:57.14mg/L TN:9.902mg/L</v>
      </c>
      <c r="P148">
        <v>0</v>
      </c>
      <c r="Q148" t="str">
        <f>"80"</f>
        <v>80</v>
      </c>
    </row>
    <row r="149" spans="1:17" x14ac:dyDescent="0.2">
      <c r="A149" t="str">
        <f>"Unknown"</f>
        <v>Unknown</v>
      </c>
      <c r="B149" t="str">
        <f>"NPOC/TN"</f>
        <v>NPOC/TN</v>
      </c>
      <c r="C149" t="str">
        <f>"1122"</f>
        <v>1122</v>
      </c>
      <c r="D149" t="str">
        <f>"DI"</f>
        <v>DI</v>
      </c>
      <c r="E149" t="str">
        <f>"C:\TOC3201\Methods\Itamar\acid_sample.met"</f>
        <v>C:\TOC3201\Methods\Itamar\acid_sample.met</v>
      </c>
      <c r="F149" t="str">
        <f>"C:\TOC3201\CalCurves\Itamar\N_cal_25ppm_acid_laurel.2019_08_21_15_23_49.cal"</f>
        <v>C:\TOC3201\CalCurves\Itamar\N_cal_25ppm_acid_laurel.2019_08_21_15_23_49.cal</v>
      </c>
      <c r="G149">
        <v>1</v>
      </c>
      <c r="H149" t="str">
        <f>""</f>
        <v/>
      </c>
      <c r="I149" t="str">
        <f>"8/21/2019 9:40:12 PM"</f>
        <v>8/21/2019 9:40:12 PM</v>
      </c>
      <c r="J149" t="str">
        <f>"1"</f>
        <v>1</v>
      </c>
      <c r="K149" t="str">
        <f>"3"</f>
        <v>3</v>
      </c>
      <c r="L149" t="str">
        <f>"TN"</f>
        <v>TN</v>
      </c>
      <c r="M149" t="str">
        <f>"37.74"</f>
        <v>37.74</v>
      </c>
      <c r="N149" t="str">
        <f>"10.51"</f>
        <v>10.51</v>
      </c>
      <c r="O149" t="str">
        <f>"NPOC:57.14mg/L TN:9.902mg/L"</f>
        <v>NPOC:57.14mg/L TN:9.902mg/L</v>
      </c>
      <c r="P149">
        <v>1</v>
      </c>
      <c r="Q149" t="str">
        <f>"80"</f>
        <v>80</v>
      </c>
    </row>
    <row r="150" spans="1:17" x14ac:dyDescent="0.2">
      <c r="A150" t="str">
        <f>"Unknown"</f>
        <v>Unknown</v>
      </c>
      <c r="B150" t="str">
        <f>"NPOC/TN"</f>
        <v>NPOC/TN</v>
      </c>
      <c r="C150" t="str">
        <f>"1122"</f>
        <v>1122</v>
      </c>
      <c r="D150" t="str">
        <f>"DI"</f>
        <v>DI</v>
      </c>
      <c r="E150" t="str">
        <f>"C:\TOC3201\Methods\Itamar\acid_sample.met"</f>
        <v>C:\TOC3201\Methods\Itamar\acid_sample.met</v>
      </c>
      <c r="F150" t="str">
        <f>"C:\TOC3201\CalCurves\Itamar\N_cal_25ppm_acid_laurel.2019_08_21_15_23_49.cal"</f>
        <v>C:\TOC3201\CalCurves\Itamar\N_cal_25ppm_acid_laurel.2019_08_21_15_23_49.cal</v>
      </c>
      <c r="G150">
        <v>1</v>
      </c>
      <c r="H150" t="str">
        <f>""</f>
        <v/>
      </c>
      <c r="I150" t="str">
        <f>"8/21/2019 9:44:38 PM"</f>
        <v>8/21/2019 9:44:38 PM</v>
      </c>
      <c r="J150" t="str">
        <f>"1"</f>
        <v>1</v>
      </c>
      <c r="K150" t="str">
        <f>"4"</f>
        <v>4</v>
      </c>
      <c r="L150" t="str">
        <f>"TN"</f>
        <v>TN</v>
      </c>
      <c r="M150" t="str">
        <f>"37.62"</f>
        <v>37.62</v>
      </c>
      <c r="N150" t="str">
        <f>"10.47"</f>
        <v>10.47</v>
      </c>
      <c r="O150" t="str">
        <f>"NPOC:57.14mg/L TN:9.902mg/L"</f>
        <v>NPOC:57.14mg/L TN:9.902mg/L</v>
      </c>
      <c r="P150">
        <v>1</v>
      </c>
      <c r="Q150" t="str">
        <f>"80"</f>
        <v>80</v>
      </c>
    </row>
    <row r="151" spans="1:17" x14ac:dyDescent="0.2">
      <c r="A151" t="str">
        <f>"Unknown"</f>
        <v>Unknown</v>
      </c>
      <c r="B151" t="str">
        <f>"NPOC/TN"</f>
        <v>NPOC/TN</v>
      </c>
      <c r="C151" t="str">
        <f>"1122"</f>
        <v>1122</v>
      </c>
      <c r="D151" t="str">
        <f>"DI"</f>
        <v>DI</v>
      </c>
      <c r="E151" t="str">
        <f>"C:\TOC3201\Methods\Itamar\acid_sample.met"</f>
        <v>C:\TOC3201\Methods\Itamar\acid_sample.met</v>
      </c>
      <c r="F151" t="str">
        <f>"C:\TOC3201\CalCurves\Itamar\N_cal_25ppm_acid_laurel.2019_08_21_15_23_49.cal"</f>
        <v>C:\TOC3201\CalCurves\Itamar\N_cal_25ppm_acid_laurel.2019_08_21_15_23_49.cal</v>
      </c>
      <c r="G151">
        <v>1</v>
      </c>
      <c r="H151" t="str">
        <f>""</f>
        <v/>
      </c>
      <c r="I151" t="str">
        <f>"8/21/2019 9:48:17 PM"</f>
        <v>8/21/2019 9:48:17 PM</v>
      </c>
      <c r="J151" t="str">
        <f>"1"</f>
        <v>1</v>
      </c>
      <c r="K151" t="str">
        <f>"5"</f>
        <v>5</v>
      </c>
      <c r="L151" t="str">
        <f>"TN"</f>
        <v>TN</v>
      </c>
      <c r="M151" t="str">
        <f>"34.82"</f>
        <v>34.82</v>
      </c>
      <c r="N151" t="str">
        <f>"9.704"</f>
        <v>9.704</v>
      </c>
      <c r="O151" t="str">
        <f>"NPOC:57.14mg/L TN:9.902mg/L"</f>
        <v>NPOC:57.14mg/L TN:9.902mg/L</v>
      </c>
      <c r="P151">
        <v>0</v>
      </c>
      <c r="Q151" t="str">
        <f>"80"</f>
        <v>80</v>
      </c>
    </row>
    <row r="152" spans="1:17" x14ac:dyDescent="0.2">
      <c r="A152" t="str">
        <f>"Unknown"</f>
        <v>Unknown</v>
      </c>
      <c r="B152" t="str">
        <f>"NPOC/TN"</f>
        <v>NPOC/TN</v>
      </c>
      <c r="C152" t="str">
        <f>"1124"</f>
        <v>1124</v>
      </c>
      <c r="D152" t="str">
        <f>"DI"</f>
        <v>DI</v>
      </c>
      <c r="E152" t="str">
        <f>"C:\TOC3201\Methods\Itamar\acid_sample.met"</f>
        <v>C:\TOC3201\Methods\Itamar\acid_sample.met</v>
      </c>
      <c r="F152" t="str">
        <f>"C:\TOC3201\CalCurves\Itamar\C_cal_100ppm_acid_laurel.2019_08_21_13_17_46.cal"</f>
        <v>C:\TOC3201\CalCurves\Itamar\C_cal_100ppm_acid_laurel.2019_08_21_13_17_46.cal</v>
      </c>
      <c r="G152">
        <v>1</v>
      </c>
      <c r="H152" t="str">
        <f>""</f>
        <v/>
      </c>
      <c r="I152" t="str">
        <f>"8/21/2019 9:58:36 PM"</f>
        <v>8/21/2019 9:58:36 PM</v>
      </c>
      <c r="J152" t="str">
        <f>"1"</f>
        <v>1</v>
      </c>
      <c r="K152" t="str">
        <f>"1"</f>
        <v>1</v>
      </c>
      <c r="L152" t="str">
        <f>"NPOC"</f>
        <v>NPOC</v>
      </c>
      <c r="M152" t="str">
        <f>"78.01"</f>
        <v>78.01</v>
      </c>
      <c r="N152" t="str">
        <f>"15.62"</f>
        <v>15.62</v>
      </c>
      <c r="O152" t="str">
        <f>"NPOC:15.82mg/L TN:2.451mg/L"</f>
        <v>NPOC:15.82mg/L TN:2.451mg/L</v>
      </c>
      <c r="P152">
        <v>0</v>
      </c>
      <c r="Q152" t="str">
        <f>"80"</f>
        <v>80</v>
      </c>
    </row>
    <row r="153" spans="1:17" x14ac:dyDescent="0.2">
      <c r="A153" t="str">
        <f>"Unknown"</f>
        <v>Unknown</v>
      </c>
      <c r="B153" t="str">
        <f>"NPOC/TN"</f>
        <v>NPOC/TN</v>
      </c>
      <c r="C153" t="str">
        <f>"1124"</f>
        <v>1124</v>
      </c>
      <c r="D153" t="str">
        <f>"DI"</f>
        <v>DI</v>
      </c>
      <c r="E153" t="str">
        <f>"C:\TOC3201\Methods\Itamar\acid_sample.met"</f>
        <v>C:\TOC3201\Methods\Itamar\acid_sample.met</v>
      </c>
      <c r="F153" t="str">
        <f>"C:\TOC3201\CalCurves\Itamar\C_cal_100ppm_acid_laurel.2019_08_21_13_17_46.cal"</f>
        <v>C:\TOC3201\CalCurves\Itamar\C_cal_100ppm_acid_laurel.2019_08_21_13_17_46.cal</v>
      </c>
      <c r="G153">
        <v>1</v>
      </c>
      <c r="H153" t="str">
        <f>""</f>
        <v/>
      </c>
      <c r="I153" t="str">
        <f>"8/21/2019 10:02:20 PM"</f>
        <v>8/21/2019 10:02:20 PM</v>
      </c>
      <c r="J153" t="str">
        <f>"1"</f>
        <v>1</v>
      </c>
      <c r="K153" t="str">
        <f>"2"</f>
        <v>2</v>
      </c>
      <c r="L153" t="str">
        <f>"NPOC"</f>
        <v>NPOC</v>
      </c>
      <c r="M153" t="str">
        <f>"76.76"</f>
        <v>76.76</v>
      </c>
      <c r="N153" t="str">
        <f>"15.37"</f>
        <v>15.37</v>
      </c>
      <c r="O153" t="str">
        <f>"NPOC:15.82mg/L TN:2.451mg/L"</f>
        <v>NPOC:15.82mg/L TN:2.451mg/L</v>
      </c>
      <c r="P153">
        <v>1</v>
      </c>
      <c r="Q153" t="str">
        <f>"80"</f>
        <v>80</v>
      </c>
    </row>
    <row r="154" spans="1:17" x14ac:dyDescent="0.2">
      <c r="A154" t="str">
        <f>"Unknown"</f>
        <v>Unknown</v>
      </c>
      <c r="B154" t="str">
        <f>"NPOC/TN"</f>
        <v>NPOC/TN</v>
      </c>
      <c r="C154" t="str">
        <f>"1124"</f>
        <v>1124</v>
      </c>
      <c r="D154" t="str">
        <f>"DI"</f>
        <v>DI</v>
      </c>
      <c r="E154" t="str">
        <f>"C:\TOC3201\Methods\Itamar\acid_sample.met"</f>
        <v>C:\TOC3201\Methods\Itamar\acid_sample.met</v>
      </c>
      <c r="F154" t="str">
        <f>"C:\TOC3201\CalCurves\Itamar\C_cal_100ppm_acid_laurel.2019_08_21_13_17_46.cal"</f>
        <v>C:\TOC3201\CalCurves\Itamar\C_cal_100ppm_acid_laurel.2019_08_21_13_17_46.cal</v>
      </c>
      <c r="G154">
        <v>1</v>
      </c>
      <c r="H154" t="str">
        <f>""</f>
        <v/>
      </c>
      <c r="I154" t="str">
        <f>"8/21/2019 10:06:05 PM"</f>
        <v>8/21/2019 10:06:05 PM</v>
      </c>
      <c r="J154" t="str">
        <f>"1"</f>
        <v>1</v>
      </c>
      <c r="K154" t="str">
        <f>"3"</f>
        <v>3</v>
      </c>
      <c r="L154" t="str">
        <f>"NPOC"</f>
        <v>NPOC</v>
      </c>
      <c r="M154" t="str">
        <f>"79.94"</f>
        <v>79.94</v>
      </c>
      <c r="N154" t="str">
        <f>"16.02"</f>
        <v>16.02</v>
      </c>
      <c r="O154" t="str">
        <f>"NPOC:15.82mg/L TN:2.451mg/L"</f>
        <v>NPOC:15.82mg/L TN:2.451mg/L</v>
      </c>
      <c r="P154">
        <v>0</v>
      </c>
      <c r="Q154" t="str">
        <f>"80"</f>
        <v>80</v>
      </c>
    </row>
    <row r="155" spans="1:17" x14ac:dyDescent="0.2">
      <c r="A155" t="str">
        <f>"Unknown"</f>
        <v>Unknown</v>
      </c>
      <c r="B155" t="str">
        <f>"NPOC/TN"</f>
        <v>NPOC/TN</v>
      </c>
      <c r="C155" t="str">
        <f>"1124"</f>
        <v>1124</v>
      </c>
      <c r="D155" t="str">
        <f>"DI"</f>
        <v>DI</v>
      </c>
      <c r="E155" t="str">
        <f>"C:\TOC3201\Methods\Itamar\acid_sample.met"</f>
        <v>C:\TOC3201\Methods\Itamar\acid_sample.met</v>
      </c>
      <c r="F155" t="str">
        <f>"C:\TOC3201\CalCurves\Itamar\C_cal_100ppm_acid_laurel.2019_08_21_13_17_46.cal"</f>
        <v>C:\TOC3201\CalCurves\Itamar\C_cal_100ppm_acid_laurel.2019_08_21_13_17_46.cal</v>
      </c>
      <c r="G155">
        <v>1</v>
      </c>
      <c r="H155" t="str">
        <f>""</f>
        <v/>
      </c>
      <c r="I155" t="str">
        <f>"8/21/2019 10:09:44 PM"</f>
        <v>8/21/2019 10:09:44 PM</v>
      </c>
      <c r="J155" t="str">
        <f>"1"</f>
        <v>1</v>
      </c>
      <c r="K155" t="str">
        <f>"4"</f>
        <v>4</v>
      </c>
      <c r="L155" t="str">
        <f>"NPOC"</f>
        <v>NPOC</v>
      </c>
      <c r="M155" t="str">
        <f>"78.99"</f>
        <v>78.99</v>
      </c>
      <c r="N155" t="str">
        <f>"15.83"</f>
        <v>15.83</v>
      </c>
      <c r="O155" t="str">
        <f>"NPOC:15.82mg/L TN:2.451mg/L"</f>
        <v>NPOC:15.82mg/L TN:2.451mg/L</v>
      </c>
      <c r="P155">
        <v>0</v>
      </c>
      <c r="Q155" t="str">
        <f>"80"</f>
        <v>80</v>
      </c>
    </row>
    <row r="156" spans="1:17" x14ac:dyDescent="0.2">
      <c r="A156" t="str">
        <f>"Unknown"</f>
        <v>Unknown</v>
      </c>
      <c r="B156" t="str">
        <f>"NPOC/TN"</f>
        <v>NPOC/TN</v>
      </c>
      <c r="C156" t="str">
        <f>"1124"</f>
        <v>1124</v>
      </c>
      <c r="D156" t="str">
        <f>"DI"</f>
        <v>DI</v>
      </c>
      <c r="E156" t="str">
        <f>"C:\TOC3201\Methods\Itamar\acid_sample.met"</f>
        <v>C:\TOC3201\Methods\Itamar\acid_sample.met</v>
      </c>
      <c r="F156" t="str">
        <f>"C:\TOC3201\CalCurves\Itamar\N_cal_25ppm_acid_laurel.2019_08_21_15_23_49.cal"</f>
        <v>C:\TOC3201\CalCurves\Itamar\N_cal_25ppm_acid_laurel.2019_08_21_15_23_49.cal</v>
      </c>
      <c r="G156">
        <v>1</v>
      </c>
      <c r="H156" t="str">
        <f>""</f>
        <v/>
      </c>
      <c r="I156" t="str">
        <f>"8/21/2019 9:58:36 PM"</f>
        <v>8/21/2019 9:58:36 PM</v>
      </c>
      <c r="J156" t="str">
        <f>"1"</f>
        <v>1</v>
      </c>
      <c r="K156" t="str">
        <f>"1"</f>
        <v>1</v>
      </c>
      <c r="L156" t="str">
        <f>"TN"</f>
        <v>TN</v>
      </c>
      <c r="M156" t="str">
        <f>"8.199"</f>
        <v>8.199</v>
      </c>
      <c r="N156" t="str">
        <f>"2.403"</f>
        <v>2.403</v>
      </c>
      <c r="O156" t="str">
        <f>"NPOC:15.82mg/L TN:2.451mg/L"</f>
        <v>NPOC:15.82mg/L TN:2.451mg/L</v>
      </c>
      <c r="P156">
        <v>0</v>
      </c>
      <c r="Q156" t="str">
        <f>"80"</f>
        <v>80</v>
      </c>
    </row>
    <row r="157" spans="1:17" x14ac:dyDescent="0.2">
      <c r="A157" t="str">
        <f>"Unknown"</f>
        <v>Unknown</v>
      </c>
      <c r="B157" t="str">
        <f>"NPOC/TN"</f>
        <v>NPOC/TN</v>
      </c>
      <c r="C157" t="str">
        <f>"1124"</f>
        <v>1124</v>
      </c>
      <c r="D157" t="str">
        <f>"DI"</f>
        <v>DI</v>
      </c>
      <c r="E157" t="str">
        <f>"C:\TOC3201\Methods\Itamar\acid_sample.met"</f>
        <v>C:\TOC3201\Methods\Itamar\acid_sample.met</v>
      </c>
      <c r="F157" t="str">
        <f>"C:\TOC3201\CalCurves\Itamar\N_cal_25ppm_acid_laurel.2019_08_21_15_23_49.cal"</f>
        <v>C:\TOC3201\CalCurves\Itamar\N_cal_25ppm_acid_laurel.2019_08_21_15_23_49.cal</v>
      </c>
      <c r="G157">
        <v>1</v>
      </c>
      <c r="H157" t="str">
        <f>""</f>
        <v/>
      </c>
      <c r="I157" t="str">
        <f>"8/21/2019 10:02:20 PM"</f>
        <v>8/21/2019 10:02:20 PM</v>
      </c>
      <c r="J157" t="str">
        <f>"1"</f>
        <v>1</v>
      </c>
      <c r="K157" t="str">
        <f>"2"</f>
        <v>2</v>
      </c>
      <c r="L157" t="str">
        <f>"TN"</f>
        <v>TN</v>
      </c>
      <c r="M157" t="str">
        <f>"7.645"</f>
        <v>7.645</v>
      </c>
      <c r="N157" t="str">
        <f>"2.251"</f>
        <v>2.251</v>
      </c>
      <c r="O157" t="str">
        <f>"NPOC:15.82mg/L TN:2.451mg/L"</f>
        <v>NPOC:15.82mg/L TN:2.451mg/L</v>
      </c>
      <c r="P157">
        <v>1</v>
      </c>
      <c r="Q157" t="str">
        <f>"80"</f>
        <v>80</v>
      </c>
    </row>
    <row r="158" spans="1:17" x14ac:dyDescent="0.2">
      <c r="A158" t="str">
        <f>"Unknown"</f>
        <v>Unknown</v>
      </c>
      <c r="B158" t="str">
        <f>"NPOC/TN"</f>
        <v>NPOC/TN</v>
      </c>
      <c r="C158" t="str">
        <f>"1124"</f>
        <v>1124</v>
      </c>
      <c r="D158" t="str">
        <f>"DI"</f>
        <v>DI</v>
      </c>
      <c r="E158" t="str">
        <f>"C:\TOC3201\Methods\Itamar\acid_sample.met"</f>
        <v>C:\TOC3201\Methods\Itamar\acid_sample.met</v>
      </c>
      <c r="F158" t="str">
        <f>"C:\TOC3201\CalCurves\Itamar\N_cal_25ppm_acid_laurel.2019_08_21_15_23_49.cal"</f>
        <v>C:\TOC3201\CalCurves\Itamar\N_cal_25ppm_acid_laurel.2019_08_21_15_23_49.cal</v>
      </c>
      <c r="G158">
        <v>1</v>
      </c>
      <c r="H158" t="str">
        <f>""</f>
        <v/>
      </c>
      <c r="I158" t="str">
        <f>"8/21/2019 10:06:05 PM"</f>
        <v>8/21/2019 10:06:05 PM</v>
      </c>
      <c r="J158" t="str">
        <f>"1"</f>
        <v>1</v>
      </c>
      <c r="K158" t="str">
        <f>"3"</f>
        <v>3</v>
      </c>
      <c r="L158" t="str">
        <f>"TN"</f>
        <v>TN</v>
      </c>
      <c r="M158" t="str">
        <f>"8.440"</f>
        <v>8.440</v>
      </c>
      <c r="N158" t="str">
        <f>"2.469"</f>
        <v>2.469</v>
      </c>
      <c r="O158" t="str">
        <f>"NPOC:15.82mg/L TN:2.451mg/L"</f>
        <v>NPOC:15.82mg/L TN:2.451mg/L</v>
      </c>
      <c r="P158">
        <v>0</v>
      </c>
      <c r="Q158" t="str">
        <f>"80"</f>
        <v>80</v>
      </c>
    </row>
    <row r="159" spans="1:17" x14ac:dyDescent="0.2">
      <c r="A159" t="str">
        <f>"Unknown"</f>
        <v>Unknown</v>
      </c>
      <c r="B159" t="str">
        <f>"NPOC/TN"</f>
        <v>NPOC/TN</v>
      </c>
      <c r="C159" t="str">
        <f>"1124"</f>
        <v>1124</v>
      </c>
      <c r="D159" t="str">
        <f>"DI"</f>
        <v>DI</v>
      </c>
      <c r="E159" t="str">
        <f>"C:\TOC3201\Methods\Itamar\acid_sample.met"</f>
        <v>C:\TOC3201\Methods\Itamar\acid_sample.met</v>
      </c>
      <c r="F159" t="str">
        <f>"C:\TOC3201\CalCurves\Itamar\N_cal_25ppm_acid_laurel.2019_08_21_15_23_49.cal"</f>
        <v>C:\TOC3201\CalCurves\Itamar\N_cal_25ppm_acid_laurel.2019_08_21_15_23_49.cal</v>
      </c>
      <c r="G159">
        <v>1</v>
      </c>
      <c r="H159" t="str">
        <f>""</f>
        <v/>
      </c>
      <c r="I159" t="str">
        <f>"8/21/2019 10:09:44 PM"</f>
        <v>8/21/2019 10:09:44 PM</v>
      </c>
      <c r="J159" t="str">
        <f>"1"</f>
        <v>1</v>
      </c>
      <c r="K159" t="str">
        <f>"4"</f>
        <v>4</v>
      </c>
      <c r="L159" t="str">
        <f>"TN"</f>
        <v>TN</v>
      </c>
      <c r="M159" t="str">
        <f>"8.009"</f>
        <v>8.009</v>
      </c>
      <c r="N159" t="str">
        <f>"2.351"</f>
        <v>2.351</v>
      </c>
      <c r="O159" t="str">
        <f>"NPOC:15.82mg/L TN:2.451mg/L"</f>
        <v>NPOC:15.82mg/L TN:2.451mg/L</v>
      </c>
      <c r="P159">
        <v>1</v>
      </c>
      <c r="Q159" t="str">
        <f>"80"</f>
        <v>80</v>
      </c>
    </row>
    <row r="160" spans="1:17" x14ac:dyDescent="0.2">
      <c r="A160" t="str">
        <f>"Unknown"</f>
        <v>Unknown</v>
      </c>
      <c r="B160" t="str">
        <f>"NPOC/TN"</f>
        <v>NPOC/TN</v>
      </c>
      <c r="C160" t="str">
        <f>"1124"</f>
        <v>1124</v>
      </c>
      <c r="D160" t="str">
        <f>"DI"</f>
        <v>DI</v>
      </c>
      <c r="E160" t="str">
        <f>"C:\TOC3201\Methods\Itamar\acid_sample.met"</f>
        <v>C:\TOC3201\Methods\Itamar\acid_sample.met</v>
      </c>
      <c r="F160" t="str">
        <f>"C:\TOC3201\CalCurves\Itamar\N_cal_25ppm_acid_laurel.2019_08_21_15_23_49.cal"</f>
        <v>C:\TOC3201\CalCurves\Itamar\N_cal_25ppm_acid_laurel.2019_08_21_15_23_49.cal</v>
      </c>
      <c r="G160">
        <v>1</v>
      </c>
      <c r="H160" t="str">
        <f>""</f>
        <v/>
      </c>
      <c r="I160" t="str">
        <f>"8/21/2019 10:13:00 PM"</f>
        <v>8/21/2019 10:13:00 PM</v>
      </c>
      <c r="J160" t="str">
        <f>"1"</f>
        <v>1</v>
      </c>
      <c r="K160" t="str">
        <f>"5"</f>
        <v>5</v>
      </c>
      <c r="L160" t="str">
        <f>"TN"</f>
        <v>TN</v>
      </c>
      <c r="M160" t="str">
        <f>"8.487"</f>
        <v>8.487</v>
      </c>
      <c r="N160" t="str">
        <f>"2.482"</f>
        <v>2.482</v>
      </c>
      <c r="O160" t="str">
        <f>"NPOC:15.82mg/L TN:2.451mg/L"</f>
        <v>NPOC:15.82mg/L TN:2.451mg/L</v>
      </c>
      <c r="P160">
        <v>0</v>
      </c>
      <c r="Q160" t="str">
        <f>"80"</f>
        <v>80</v>
      </c>
    </row>
    <row r="161" spans="1:17" x14ac:dyDescent="0.2">
      <c r="A161" t="str">
        <f>"Unknown"</f>
        <v>Unknown</v>
      </c>
      <c r="B161" t="str">
        <f>"NPOC/TN"</f>
        <v>NPOC/TN</v>
      </c>
      <c r="C161" t="str">
        <f>"1126"</f>
        <v>1126</v>
      </c>
      <c r="D161" t="str">
        <f>"DI"</f>
        <v>DI</v>
      </c>
      <c r="E161" t="str">
        <f>"C:\TOC3201\Methods\Itamar\acid_sample.met"</f>
        <v>C:\TOC3201\Methods\Itamar\acid_sample.met</v>
      </c>
      <c r="F161" t="str">
        <f>"C:\TOC3201\CalCurves\Itamar\C_cal_100ppm_acid_laurel.2019_08_21_13_17_46.cal"</f>
        <v>C:\TOC3201\CalCurves\Itamar\C_cal_100ppm_acid_laurel.2019_08_21_13_17_46.cal</v>
      </c>
      <c r="G161">
        <v>1</v>
      </c>
      <c r="H161" t="str">
        <f>""</f>
        <v/>
      </c>
      <c r="I161" t="str">
        <f>"8/21/2019 10:23:13 PM"</f>
        <v>8/21/2019 10:23:13 PM</v>
      </c>
      <c r="J161" t="str">
        <f>"1"</f>
        <v>1</v>
      </c>
      <c r="K161" t="str">
        <f>"1"</f>
        <v>1</v>
      </c>
      <c r="L161" t="str">
        <f>"NPOC"</f>
        <v>NPOC</v>
      </c>
      <c r="M161" t="str">
        <f>"79.32"</f>
        <v>79.32</v>
      </c>
      <c r="N161" t="str">
        <f>"15.89"</f>
        <v>15.89</v>
      </c>
      <c r="O161" t="str">
        <f>"NPOC:15.80mg/L TN:2.579mg/L"</f>
        <v>NPOC:15.80mg/L TN:2.579mg/L</v>
      </c>
      <c r="P161">
        <v>0</v>
      </c>
      <c r="Q161" t="str">
        <f>"80"</f>
        <v>80</v>
      </c>
    </row>
    <row r="162" spans="1:17" x14ac:dyDescent="0.2">
      <c r="A162" t="str">
        <f>"Unknown"</f>
        <v>Unknown</v>
      </c>
      <c r="B162" t="str">
        <f>"NPOC/TN"</f>
        <v>NPOC/TN</v>
      </c>
      <c r="C162" t="str">
        <f>"1126"</f>
        <v>1126</v>
      </c>
      <c r="D162" t="str">
        <f>"DI"</f>
        <v>DI</v>
      </c>
      <c r="E162" t="str">
        <f>"C:\TOC3201\Methods\Itamar\acid_sample.met"</f>
        <v>C:\TOC3201\Methods\Itamar\acid_sample.met</v>
      </c>
      <c r="F162" t="str">
        <f>"C:\TOC3201\CalCurves\Itamar\C_cal_100ppm_acid_laurel.2019_08_21_13_17_46.cal"</f>
        <v>C:\TOC3201\CalCurves\Itamar\C_cal_100ppm_acid_laurel.2019_08_21_13_17_46.cal</v>
      </c>
      <c r="G162">
        <v>1</v>
      </c>
      <c r="H162" t="str">
        <f>""</f>
        <v/>
      </c>
      <c r="I162" t="str">
        <f>"8/21/2019 10:26:57 PM"</f>
        <v>8/21/2019 10:26:57 PM</v>
      </c>
      <c r="J162" t="str">
        <f>"1"</f>
        <v>1</v>
      </c>
      <c r="K162" t="str">
        <f>"2"</f>
        <v>2</v>
      </c>
      <c r="L162" t="str">
        <f>"NPOC"</f>
        <v>NPOC</v>
      </c>
      <c r="M162" t="str">
        <f>"79.14"</f>
        <v>79.14</v>
      </c>
      <c r="N162" t="str">
        <f>"15.86"</f>
        <v>15.86</v>
      </c>
      <c r="O162" t="str">
        <f>"NPOC:15.80mg/L TN:2.579mg/L"</f>
        <v>NPOC:15.80mg/L TN:2.579mg/L</v>
      </c>
      <c r="P162">
        <v>0</v>
      </c>
      <c r="Q162" t="str">
        <f>"80"</f>
        <v>80</v>
      </c>
    </row>
    <row r="163" spans="1:17" x14ac:dyDescent="0.2">
      <c r="A163" t="str">
        <f>"Unknown"</f>
        <v>Unknown</v>
      </c>
      <c r="B163" t="str">
        <f>"NPOC/TN"</f>
        <v>NPOC/TN</v>
      </c>
      <c r="C163" t="str">
        <f>"1126"</f>
        <v>1126</v>
      </c>
      <c r="D163" t="str">
        <f>"DI"</f>
        <v>DI</v>
      </c>
      <c r="E163" t="str">
        <f>"C:\TOC3201\Methods\Itamar\acid_sample.met"</f>
        <v>C:\TOC3201\Methods\Itamar\acid_sample.met</v>
      </c>
      <c r="F163" t="str">
        <f>"C:\TOC3201\CalCurves\Itamar\C_cal_100ppm_acid_laurel.2019_08_21_13_17_46.cal"</f>
        <v>C:\TOC3201\CalCurves\Itamar\C_cal_100ppm_acid_laurel.2019_08_21_13_17_46.cal</v>
      </c>
      <c r="G163">
        <v>1</v>
      </c>
      <c r="H163" t="str">
        <f>""</f>
        <v/>
      </c>
      <c r="I163" t="str">
        <f>"8/21/2019 10:30:46 PM"</f>
        <v>8/21/2019 10:30:46 PM</v>
      </c>
      <c r="J163" t="str">
        <f>"1"</f>
        <v>1</v>
      </c>
      <c r="K163" t="str">
        <f>"3"</f>
        <v>3</v>
      </c>
      <c r="L163" t="str">
        <f>"NPOC"</f>
        <v>NPOC</v>
      </c>
      <c r="M163" t="str">
        <f>"83.15"</f>
        <v>83.15</v>
      </c>
      <c r="N163" t="str">
        <f>"16.68"</f>
        <v>16.68</v>
      </c>
      <c r="O163" t="str">
        <f>"NPOC:15.80mg/L TN:2.579mg/L"</f>
        <v>NPOC:15.80mg/L TN:2.579mg/L</v>
      </c>
      <c r="P163">
        <v>1</v>
      </c>
      <c r="Q163" t="str">
        <f>"80"</f>
        <v>80</v>
      </c>
    </row>
    <row r="164" spans="1:17" x14ac:dyDescent="0.2">
      <c r="A164" t="str">
        <f>"Unknown"</f>
        <v>Unknown</v>
      </c>
      <c r="B164" t="str">
        <f>"NPOC/TN"</f>
        <v>NPOC/TN</v>
      </c>
      <c r="C164" t="str">
        <f>"1126"</f>
        <v>1126</v>
      </c>
      <c r="D164" t="str">
        <f>"DI"</f>
        <v>DI</v>
      </c>
      <c r="E164" t="str">
        <f>"C:\TOC3201\Methods\Itamar\acid_sample.met"</f>
        <v>C:\TOC3201\Methods\Itamar\acid_sample.met</v>
      </c>
      <c r="F164" t="str">
        <f>"C:\TOC3201\CalCurves\Itamar\C_cal_100ppm_acid_laurel.2019_08_21_13_17_46.cal"</f>
        <v>C:\TOC3201\CalCurves\Itamar\C_cal_100ppm_acid_laurel.2019_08_21_13_17_46.cal</v>
      </c>
      <c r="G164">
        <v>1</v>
      </c>
      <c r="H164" t="str">
        <f>""</f>
        <v/>
      </c>
      <c r="I164" t="str">
        <f>"8/21/2019 10:34:33 PM"</f>
        <v>8/21/2019 10:34:33 PM</v>
      </c>
      <c r="J164" t="str">
        <f>"1"</f>
        <v>1</v>
      </c>
      <c r="K164" t="str">
        <f>"4"</f>
        <v>4</v>
      </c>
      <c r="L164" t="str">
        <f>"NPOC"</f>
        <v>NPOC</v>
      </c>
      <c r="M164" t="str">
        <f>"83.23"</f>
        <v>83.23</v>
      </c>
      <c r="N164" t="str">
        <f>"16.69"</f>
        <v>16.69</v>
      </c>
      <c r="O164" t="str">
        <f>"NPOC:15.80mg/L TN:2.579mg/L"</f>
        <v>NPOC:15.80mg/L TN:2.579mg/L</v>
      </c>
      <c r="P164">
        <v>1</v>
      </c>
      <c r="Q164" t="str">
        <f>"80"</f>
        <v>80</v>
      </c>
    </row>
    <row r="165" spans="1:17" x14ac:dyDescent="0.2">
      <c r="A165" t="str">
        <f>"Unknown"</f>
        <v>Unknown</v>
      </c>
      <c r="B165" t="str">
        <f>"NPOC/TN"</f>
        <v>NPOC/TN</v>
      </c>
      <c r="C165" t="str">
        <f>"1126"</f>
        <v>1126</v>
      </c>
      <c r="D165" t="str">
        <f>"DI"</f>
        <v>DI</v>
      </c>
      <c r="E165" t="str">
        <f>"C:\TOC3201\Methods\Itamar\acid_sample.met"</f>
        <v>C:\TOC3201\Methods\Itamar\acid_sample.met</v>
      </c>
      <c r="F165" t="str">
        <f>"C:\TOC3201\CalCurves\Itamar\C_cal_100ppm_acid_laurel.2019_08_21_13_17_46.cal"</f>
        <v>C:\TOC3201\CalCurves\Itamar\C_cal_100ppm_acid_laurel.2019_08_21_13_17_46.cal</v>
      </c>
      <c r="G165">
        <v>1</v>
      </c>
      <c r="H165" t="str">
        <f>""</f>
        <v/>
      </c>
      <c r="I165" t="str">
        <f>"8/21/2019 10:38:18 PM"</f>
        <v>8/21/2019 10:38:18 PM</v>
      </c>
      <c r="J165" t="str">
        <f>"1"</f>
        <v>1</v>
      </c>
      <c r="K165" t="str">
        <f>"5"</f>
        <v>5</v>
      </c>
      <c r="L165" t="str">
        <f>"NPOC"</f>
        <v>NPOC</v>
      </c>
      <c r="M165" t="str">
        <f>"78.19"</f>
        <v>78.19</v>
      </c>
      <c r="N165" t="str">
        <f>"15.66"</f>
        <v>15.66</v>
      </c>
      <c r="O165" t="str">
        <f>"NPOC:15.80mg/L TN:2.579mg/L"</f>
        <v>NPOC:15.80mg/L TN:2.579mg/L</v>
      </c>
      <c r="P165">
        <v>0</v>
      </c>
      <c r="Q165" t="str">
        <f>"80"</f>
        <v>80</v>
      </c>
    </row>
    <row r="166" spans="1:17" x14ac:dyDescent="0.2">
      <c r="A166" t="str">
        <f>"Unknown"</f>
        <v>Unknown</v>
      </c>
      <c r="B166" t="str">
        <f>"NPOC/TN"</f>
        <v>NPOC/TN</v>
      </c>
      <c r="C166" t="str">
        <f>"1126"</f>
        <v>1126</v>
      </c>
      <c r="D166" t="str">
        <f>"DI"</f>
        <v>DI</v>
      </c>
      <c r="E166" t="str">
        <f>"C:\TOC3201\Methods\Itamar\acid_sample.met"</f>
        <v>C:\TOC3201\Methods\Itamar\acid_sample.met</v>
      </c>
      <c r="F166" t="str">
        <f>"C:\TOC3201\CalCurves\Itamar\N_cal_25ppm_acid_laurel.2019_08_21_15_23_49.cal"</f>
        <v>C:\TOC3201\CalCurves\Itamar\N_cal_25ppm_acid_laurel.2019_08_21_15_23_49.cal</v>
      </c>
      <c r="G166">
        <v>1</v>
      </c>
      <c r="H166" t="str">
        <f>""</f>
        <v/>
      </c>
      <c r="I166" t="str">
        <f>"8/21/2019 10:23:13 PM"</f>
        <v>8/21/2019 10:23:13 PM</v>
      </c>
      <c r="J166" t="str">
        <f>"1"</f>
        <v>1</v>
      </c>
      <c r="K166" t="str">
        <f>"1"</f>
        <v>1</v>
      </c>
      <c r="L166" t="str">
        <f>"TN"</f>
        <v>TN</v>
      </c>
      <c r="M166" t="str">
        <f>"8.225"</f>
        <v>8.225</v>
      </c>
      <c r="N166" t="str">
        <f>"2.410"</f>
        <v>2.410</v>
      </c>
      <c r="O166" t="str">
        <f>"NPOC:15.80mg/L TN:2.579mg/L"</f>
        <v>NPOC:15.80mg/L TN:2.579mg/L</v>
      </c>
      <c r="P166">
        <v>1</v>
      </c>
      <c r="Q166" t="str">
        <f>"80"</f>
        <v>80</v>
      </c>
    </row>
    <row r="167" spans="1:17" x14ac:dyDescent="0.2">
      <c r="A167" t="str">
        <f>"Unknown"</f>
        <v>Unknown</v>
      </c>
      <c r="B167" t="str">
        <f>"NPOC/TN"</f>
        <v>NPOC/TN</v>
      </c>
      <c r="C167" t="str">
        <f>"1126"</f>
        <v>1126</v>
      </c>
      <c r="D167" t="str">
        <f>"DI"</f>
        <v>DI</v>
      </c>
      <c r="E167" t="str">
        <f>"C:\TOC3201\Methods\Itamar\acid_sample.met"</f>
        <v>C:\TOC3201\Methods\Itamar\acid_sample.met</v>
      </c>
      <c r="F167" t="str">
        <f>"C:\TOC3201\CalCurves\Itamar\N_cal_25ppm_acid_laurel.2019_08_21_15_23_49.cal"</f>
        <v>C:\TOC3201\CalCurves\Itamar\N_cal_25ppm_acid_laurel.2019_08_21_15_23_49.cal</v>
      </c>
      <c r="G167">
        <v>1</v>
      </c>
      <c r="H167" t="str">
        <f>""</f>
        <v/>
      </c>
      <c r="I167" t="str">
        <f>"8/21/2019 10:26:57 PM"</f>
        <v>8/21/2019 10:26:57 PM</v>
      </c>
      <c r="J167" t="str">
        <f>"1"</f>
        <v>1</v>
      </c>
      <c r="K167" t="str">
        <f>"2"</f>
        <v>2</v>
      </c>
      <c r="L167" t="str">
        <f>"TN"</f>
        <v>TN</v>
      </c>
      <c r="M167" t="str">
        <f>"8.780"</f>
        <v>8.780</v>
      </c>
      <c r="N167" t="str">
        <f>"2.562"</f>
        <v>2.562</v>
      </c>
      <c r="O167" t="str">
        <f>"NPOC:15.80mg/L TN:2.579mg/L"</f>
        <v>NPOC:15.80mg/L TN:2.579mg/L</v>
      </c>
      <c r="P167">
        <v>0</v>
      </c>
      <c r="Q167" t="str">
        <f>"80"</f>
        <v>80</v>
      </c>
    </row>
    <row r="168" spans="1:17" x14ac:dyDescent="0.2">
      <c r="A168" t="str">
        <f>"Unknown"</f>
        <v>Unknown</v>
      </c>
      <c r="B168" t="str">
        <f>"NPOC/TN"</f>
        <v>NPOC/TN</v>
      </c>
      <c r="C168" t="str">
        <f>"1126"</f>
        <v>1126</v>
      </c>
      <c r="D168" t="str">
        <f>"DI"</f>
        <v>DI</v>
      </c>
      <c r="E168" t="str">
        <f>"C:\TOC3201\Methods\Itamar\acid_sample.met"</f>
        <v>C:\TOC3201\Methods\Itamar\acid_sample.met</v>
      </c>
      <c r="F168" t="str">
        <f>"C:\TOC3201\CalCurves\Itamar\N_cal_25ppm_acid_laurel.2019_08_21_15_23_49.cal"</f>
        <v>C:\TOC3201\CalCurves\Itamar\N_cal_25ppm_acid_laurel.2019_08_21_15_23_49.cal</v>
      </c>
      <c r="G168">
        <v>1</v>
      </c>
      <c r="H168" t="str">
        <f>""</f>
        <v/>
      </c>
      <c r="I168" t="str">
        <f>"8/21/2019 10:30:46 PM"</f>
        <v>8/21/2019 10:30:46 PM</v>
      </c>
      <c r="J168" t="str">
        <f>"1"</f>
        <v>1</v>
      </c>
      <c r="K168" t="str">
        <f>"3"</f>
        <v>3</v>
      </c>
      <c r="L168" t="str">
        <f>"TN"</f>
        <v>TN</v>
      </c>
      <c r="M168" t="str">
        <f>"8.889"</f>
        <v>8.889</v>
      </c>
      <c r="N168" t="str">
        <f>"2.592"</f>
        <v>2.592</v>
      </c>
      <c r="O168" t="str">
        <f>"NPOC:15.80mg/L TN:2.579mg/L"</f>
        <v>NPOC:15.80mg/L TN:2.579mg/L</v>
      </c>
      <c r="P168">
        <v>0</v>
      </c>
      <c r="Q168" t="str">
        <f>"80"</f>
        <v>80</v>
      </c>
    </row>
    <row r="169" spans="1:17" x14ac:dyDescent="0.2">
      <c r="A169" t="str">
        <f>"Unknown"</f>
        <v>Unknown</v>
      </c>
      <c r="B169" t="str">
        <f>"NPOC/TN"</f>
        <v>NPOC/TN</v>
      </c>
      <c r="C169" t="str">
        <f>"1126"</f>
        <v>1126</v>
      </c>
      <c r="D169" t="str">
        <f>"DI"</f>
        <v>DI</v>
      </c>
      <c r="E169" t="str">
        <f>"C:\TOC3201\Methods\Itamar\acid_sample.met"</f>
        <v>C:\TOC3201\Methods\Itamar\acid_sample.met</v>
      </c>
      <c r="F169" t="str">
        <f>"C:\TOC3201\CalCurves\Itamar\N_cal_25ppm_acid_laurel.2019_08_21_15_23_49.cal"</f>
        <v>C:\TOC3201\CalCurves\Itamar\N_cal_25ppm_acid_laurel.2019_08_21_15_23_49.cal</v>
      </c>
      <c r="G169">
        <v>1</v>
      </c>
      <c r="H169" t="str">
        <f>""</f>
        <v/>
      </c>
      <c r="I169" t="str">
        <f>"8/21/2019 10:34:33 PM"</f>
        <v>8/21/2019 10:34:33 PM</v>
      </c>
      <c r="J169" t="str">
        <f>"1"</f>
        <v>1</v>
      </c>
      <c r="K169" t="str">
        <f>"4"</f>
        <v>4</v>
      </c>
      <c r="L169" t="str">
        <f>"TN"</f>
        <v>TN</v>
      </c>
      <c r="M169" t="str">
        <f>"8.852"</f>
        <v>8.852</v>
      </c>
      <c r="N169" t="str">
        <f>"2.582"</f>
        <v>2.582</v>
      </c>
      <c r="O169" t="str">
        <f>"NPOC:15.80mg/L TN:2.579mg/L"</f>
        <v>NPOC:15.80mg/L TN:2.579mg/L</v>
      </c>
      <c r="P169">
        <v>0</v>
      </c>
      <c r="Q169" t="str">
        <f>"80"</f>
        <v>80</v>
      </c>
    </row>
    <row r="170" spans="1:17" x14ac:dyDescent="0.2">
      <c r="A170" t="str">
        <f>"Unknown"</f>
        <v>Unknown</v>
      </c>
      <c r="B170" t="str">
        <f>"NPOC/TN"</f>
        <v>NPOC/TN</v>
      </c>
      <c r="C170" t="str">
        <f>"1128"</f>
        <v>1128</v>
      </c>
      <c r="D170" t="str">
        <f>"DI"</f>
        <v>DI</v>
      </c>
      <c r="E170" t="str">
        <f>"C:\TOC3201\Methods\Itamar\acid_sample.met"</f>
        <v>C:\TOC3201\Methods\Itamar\acid_sample.met</v>
      </c>
      <c r="F170" t="str">
        <f>"C:\TOC3201\CalCurves\Itamar\C_cal_100ppm_acid_laurel.2019_08_21_13_17_46.cal"</f>
        <v>C:\TOC3201\CalCurves\Itamar\C_cal_100ppm_acid_laurel.2019_08_21_13_17_46.cal</v>
      </c>
      <c r="G170">
        <v>1</v>
      </c>
      <c r="H170" t="str">
        <f>""</f>
        <v/>
      </c>
      <c r="I170" t="str">
        <f>"8/21/2019 10:48:32 PM"</f>
        <v>8/21/2019 10:48:32 PM</v>
      </c>
      <c r="J170" t="str">
        <f>"1"</f>
        <v>1</v>
      </c>
      <c r="K170" t="str">
        <f>"1"</f>
        <v>1</v>
      </c>
      <c r="L170" t="str">
        <f>"NPOC"</f>
        <v>NPOC</v>
      </c>
      <c r="M170" t="str">
        <f>"81.69"</f>
        <v>81.69</v>
      </c>
      <c r="N170" t="str">
        <f>"16.38"</f>
        <v>16.38</v>
      </c>
      <c r="O170" t="str">
        <f>"NPOC:16.40mg/L TN:2.514mg/L"</f>
        <v>NPOC:16.40mg/L TN:2.514mg/L</v>
      </c>
      <c r="P170">
        <v>0</v>
      </c>
      <c r="Q170" t="str">
        <f>"80"</f>
        <v>80</v>
      </c>
    </row>
    <row r="171" spans="1:17" x14ac:dyDescent="0.2">
      <c r="A171" t="str">
        <f>"Unknown"</f>
        <v>Unknown</v>
      </c>
      <c r="B171" t="str">
        <f>"NPOC/TN"</f>
        <v>NPOC/TN</v>
      </c>
      <c r="C171" t="str">
        <f>"1128"</f>
        <v>1128</v>
      </c>
      <c r="D171" t="str">
        <f>"DI"</f>
        <v>DI</v>
      </c>
      <c r="E171" t="str">
        <f>"C:\TOC3201\Methods\Itamar\acid_sample.met"</f>
        <v>C:\TOC3201\Methods\Itamar\acid_sample.met</v>
      </c>
      <c r="F171" t="str">
        <f>"C:\TOC3201\CalCurves\Itamar\C_cal_100ppm_acid_laurel.2019_08_21_13_17_46.cal"</f>
        <v>C:\TOC3201\CalCurves\Itamar\C_cal_100ppm_acid_laurel.2019_08_21_13_17_46.cal</v>
      </c>
      <c r="G171">
        <v>1</v>
      </c>
      <c r="H171" t="str">
        <f>""</f>
        <v/>
      </c>
      <c r="I171" t="str">
        <f>"8/21/2019 10:52:20 PM"</f>
        <v>8/21/2019 10:52:20 PM</v>
      </c>
      <c r="J171" t="str">
        <f>"1"</f>
        <v>1</v>
      </c>
      <c r="K171" t="str">
        <f>"2"</f>
        <v>2</v>
      </c>
      <c r="L171" t="str">
        <f>"NPOC"</f>
        <v>NPOC</v>
      </c>
      <c r="M171" t="str">
        <f>"81.28"</f>
        <v>81.28</v>
      </c>
      <c r="N171" t="str">
        <f>"16.29"</f>
        <v>16.29</v>
      </c>
      <c r="O171" t="str">
        <f>"NPOC:16.40mg/L TN:2.514mg/L"</f>
        <v>NPOC:16.40mg/L TN:2.514mg/L</v>
      </c>
      <c r="P171">
        <v>0</v>
      </c>
      <c r="Q171" t="str">
        <f>"80"</f>
        <v>80</v>
      </c>
    </row>
    <row r="172" spans="1:17" x14ac:dyDescent="0.2">
      <c r="A172" t="str">
        <f>"Unknown"</f>
        <v>Unknown</v>
      </c>
      <c r="B172" t="str">
        <f>"NPOC/TN"</f>
        <v>NPOC/TN</v>
      </c>
      <c r="C172" t="str">
        <f>"1128"</f>
        <v>1128</v>
      </c>
      <c r="D172" t="str">
        <f>"DI"</f>
        <v>DI</v>
      </c>
      <c r="E172" t="str">
        <f>"C:\TOC3201\Methods\Itamar\acid_sample.met"</f>
        <v>C:\TOC3201\Methods\Itamar\acid_sample.met</v>
      </c>
      <c r="F172" t="str">
        <f>"C:\TOC3201\CalCurves\Itamar\C_cal_100ppm_acid_laurel.2019_08_21_13_17_46.cal"</f>
        <v>C:\TOC3201\CalCurves\Itamar\C_cal_100ppm_acid_laurel.2019_08_21_13_17_46.cal</v>
      </c>
      <c r="G172">
        <v>1</v>
      </c>
      <c r="H172" t="str">
        <f>""</f>
        <v/>
      </c>
      <c r="I172" t="str">
        <f>"8/21/2019 10:56:19 PM"</f>
        <v>8/21/2019 10:56:19 PM</v>
      </c>
      <c r="J172" t="str">
        <f>"1"</f>
        <v>1</v>
      </c>
      <c r="K172" t="str">
        <f>"3"</f>
        <v>3</v>
      </c>
      <c r="L172" t="str">
        <f>"NPOC"</f>
        <v>NPOC</v>
      </c>
      <c r="M172" t="str">
        <f>"86.81"</f>
        <v>86.81</v>
      </c>
      <c r="N172" t="str">
        <f>"17.42"</f>
        <v>17.42</v>
      </c>
      <c r="O172" t="str">
        <f>"NPOC:16.40mg/L TN:2.514mg/L"</f>
        <v>NPOC:16.40mg/L TN:2.514mg/L</v>
      </c>
      <c r="P172">
        <v>1</v>
      </c>
      <c r="Q172" t="str">
        <f>"80"</f>
        <v>80</v>
      </c>
    </row>
    <row r="173" spans="1:17" x14ac:dyDescent="0.2">
      <c r="A173" t="str">
        <f>"Unknown"</f>
        <v>Unknown</v>
      </c>
      <c r="B173" t="str">
        <f>"NPOC/TN"</f>
        <v>NPOC/TN</v>
      </c>
      <c r="C173" t="str">
        <f>"1128"</f>
        <v>1128</v>
      </c>
      <c r="D173" t="str">
        <f>"DI"</f>
        <v>DI</v>
      </c>
      <c r="E173" t="str">
        <f>"C:\TOC3201\Methods\Itamar\acid_sample.met"</f>
        <v>C:\TOC3201\Methods\Itamar\acid_sample.met</v>
      </c>
      <c r="F173" t="str">
        <f>"C:\TOC3201\CalCurves\Itamar\C_cal_100ppm_acid_laurel.2019_08_21_13_17_46.cal"</f>
        <v>C:\TOC3201\CalCurves\Itamar\C_cal_100ppm_acid_laurel.2019_08_21_13_17_46.cal</v>
      </c>
      <c r="G173">
        <v>1</v>
      </c>
      <c r="H173" t="str">
        <f>""</f>
        <v/>
      </c>
      <c r="I173" t="str">
        <f>"8/21/2019 11:00:02 PM"</f>
        <v>8/21/2019 11:00:02 PM</v>
      </c>
      <c r="J173" t="str">
        <f>"1"</f>
        <v>1</v>
      </c>
      <c r="K173" t="str">
        <f>"4"</f>
        <v>4</v>
      </c>
      <c r="L173" t="str">
        <f>"NPOC"</f>
        <v>NPOC</v>
      </c>
      <c r="M173" t="str">
        <f>"82.50"</f>
        <v>82.50</v>
      </c>
      <c r="N173" t="str">
        <f>"16.54"</f>
        <v>16.54</v>
      </c>
      <c r="O173" t="str">
        <f>"NPOC:16.40mg/L TN:2.514mg/L"</f>
        <v>NPOC:16.40mg/L TN:2.514mg/L</v>
      </c>
      <c r="P173">
        <v>0</v>
      </c>
      <c r="Q173" t="str">
        <f>"80"</f>
        <v>80</v>
      </c>
    </row>
    <row r="174" spans="1:17" x14ac:dyDescent="0.2">
      <c r="A174" t="str">
        <f>"Unknown"</f>
        <v>Unknown</v>
      </c>
      <c r="B174" t="str">
        <f>"NPOC/TN"</f>
        <v>NPOC/TN</v>
      </c>
      <c r="C174" t="str">
        <f>"1128"</f>
        <v>1128</v>
      </c>
      <c r="D174" t="str">
        <f>"DI"</f>
        <v>DI</v>
      </c>
      <c r="E174" t="str">
        <f>"C:\TOC3201\Methods\Itamar\acid_sample.met"</f>
        <v>C:\TOC3201\Methods\Itamar\acid_sample.met</v>
      </c>
      <c r="F174" t="str">
        <f>"C:\TOC3201\CalCurves\Itamar\N_cal_25ppm_acid_laurel.2019_08_21_15_23_49.cal"</f>
        <v>C:\TOC3201\CalCurves\Itamar\N_cal_25ppm_acid_laurel.2019_08_21_15_23_49.cal</v>
      </c>
      <c r="G174">
        <v>1</v>
      </c>
      <c r="H174" t="str">
        <f>""</f>
        <v/>
      </c>
      <c r="I174" t="str">
        <f>"8/21/2019 10:48:32 PM"</f>
        <v>8/21/2019 10:48:32 PM</v>
      </c>
      <c r="J174" t="str">
        <f>"1"</f>
        <v>1</v>
      </c>
      <c r="K174" t="str">
        <f>"1"</f>
        <v>1</v>
      </c>
      <c r="L174" t="str">
        <f>"TN"</f>
        <v>TN</v>
      </c>
      <c r="M174" t="str">
        <f>"8.663"</f>
        <v>8.663</v>
      </c>
      <c r="N174" t="str">
        <f>"2.530"</f>
        <v>2.530</v>
      </c>
      <c r="O174" t="str">
        <f>"NPOC:16.40mg/L TN:2.514mg/L"</f>
        <v>NPOC:16.40mg/L TN:2.514mg/L</v>
      </c>
      <c r="P174">
        <v>0</v>
      </c>
      <c r="Q174" t="str">
        <f>"80"</f>
        <v>80</v>
      </c>
    </row>
    <row r="175" spans="1:17" x14ac:dyDescent="0.2">
      <c r="A175" t="str">
        <f>"Unknown"</f>
        <v>Unknown</v>
      </c>
      <c r="B175" t="str">
        <f>"NPOC/TN"</f>
        <v>NPOC/TN</v>
      </c>
      <c r="C175" t="str">
        <f>"1128"</f>
        <v>1128</v>
      </c>
      <c r="D175" t="str">
        <f>"DI"</f>
        <v>DI</v>
      </c>
      <c r="E175" t="str">
        <f>"C:\TOC3201\Methods\Itamar\acid_sample.met"</f>
        <v>C:\TOC3201\Methods\Itamar\acid_sample.met</v>
      </c>
      <c r="F175" t="str">
        <f>"C:\TOC3201\CalCurves\Itamar\N_cal_25ppm_acid_laurel.2019_08_21_15_23_49.cal"</f>
        <v>C:\TOC3201\CalCurves\Itamar\N_cal_25ppm_acid_laurel.2019_08_21_15_23_49.cal</v>
      </c>
      <c r="G175">
        <v>1</v>
      </c>
      <c r="H175" t="str">
        <f>""</f>
        <v/>
      </c>
      <c r="I175" t="str">
        <f>"8/21/2019 10:52:20 PM"</f>
        <v>8/21/2019 10:52:20 PM</v>
      </c>
      <c r="J175" t="str">
        <f>"1"</f>
        <v>1</v>
      </c>
      <c r="K175" t="str">
        <f>"2"</f>
        <v>2</v>
      </c>
      <c r="L175" t="str">
        <f>"TN"</f>
        <v>TN</v>
      </c>
      <c r="M175" t="str">
        <f>"8.776"</f>
        <v>8.776</v>
      </c>
      <c r="N175" t="str">
        <f>"2.561"</f>
        <v>2.561</v>
      </c>
      <c r="O175" t="str">
        <f>"NPOC:16.40mg/L TN:2.514mg/L"</f>
        <v>NPOC:16.40mg/L TN:2.514mg/L</v>
      </c>
      <c r="P175">
        <v>0</v>
      </c>
      <c r="Q175" t="str">
        <f>"80"</f>
        <v>80</v>
      </c>
    </row>
    <row r="176" spans="1:17" x14ac:dyDescent="0.2">
      <c r="A176" t="str">
        <f>"Unknown"</f>
        <v>Unknown</v>
      </c>
      <c r="B176" t="str">
        <f>"NPOC/TN"</f>
        <v>NPOC/TN</v>
      </c>
      <c r="C176" t="str">
        <f>"1128"</f>
        <v>1128</v>
      </c>
      <c r="D176" t="str">
        <f>"DI"</f>
        <v>DI</v>
      </c>
      <c r="E176" t="str">
        <f>"C:\TOC3201\Methods\Itamar\acid_sample.met"</f>
        <v>C:\TOC3201\Methods\Itamar\acid_sample.met</v>
      </c>
      <c r="F176" t="str">
        <f>"C:\TOC3201\CalCurves\Itamar\N_cal_25ppm_acid_laurel.2019_08_21_15_23_49.cal"</f>
        <v>C:\TOC3201\CalCurves\Itamar\N_cal_25ppm_acid_laurel.2019_08_21_15_23_49.cal</v>
      </c>
      <c r="G176">
        <v>1</v>
      </c>
      <c r="H176" t="str">
        <f>""</f>
        <v/>
      </c>
      <c r="I176" t="str">
        <f>"8/21/2019 10:56:19 PM"</f>
        <v>8/21/2019 10:56:19 PM</v>
      </c>
      <c r="J176" t="str">
        <f>"1"</f>
        <v>1</v>
      </c>
      <c r="K176" t="str">
        <f>"3"</f>
        <v>3</v>
      </c>
      <c r="L176" t="str">
        <f>"TN"</f>
        <v>TN</v>
      </c>
      <c r="M176" t="str">
        <f>"9.795"</f>
        <v>9.795</v>
      </c>
      <c r="N176" t="str">
        <f>"2.841"</f>
        <v>2.841</v>
      </c>
      <c r="O176" t="str">
        <f>"NPOC:16.40mg/L TN:2.514mg/L"</f>
        <v>NPOC:16.40mg/L TN:2.514mg/L</v>
      </c>
      <c r="P176">
        <v>1</v>
      </c>
      <c r="Q176" t="str">
        <f>"80"</f>
        <v>80</v>
      </c>
    </row>
    <row r="177" spans="1:17" x14ac:dyDescent="0.2">
      <c r="A177" t="str">
        <f>"Unknown"</f>
        <v>Unknown</v>
      </c>
      <c r="B177" t="str">
        <f>"NPOC/TN"</f>
        <v>NPOC/TN</v>
      </c>
      <c r="C177" t="str">
        <f>"1128"</f>
        <v>1128</v>
      </c>
      <c r="D177" t="str">
        <f>"DI"</f>
        <v>DI</v>
      </c>
      <c r="E177" t="str">
        <f>"C:\TOC3201\Methods\Itamar\acid_sample.met"</f>
        <v>C:\TOC3201\Methods\Itamar\acid_sample.met</v>
      </c>
      <c r="F177" t="str">
        <f>"C:\TOC3201\CalCurves\Itamar\N_cal_25ppm_acid_laurel.2019_08_21_15_23_49.cal"</f>
        <v>C:\TOC3201\CalCurves\Itamar\N_cal_25ppm_acid_laurel.2019_08_21_15_23_49.cal</v>
      </c>
      <c r="G177">
        <v>1</v>
      </c>
      <c r="H177" t="str">
        <f>""</f>
        <v/>
      </c>
      <c r="I177" t="str">
        <f>"8/21/2019 11:00:02 PM"</f>
        <v>8/21/2019 11:00:02 PM</v>
      </c>
      <c r="J177" t="str">
        <f>"1"</f>
        <v>1</v>
      </c>
      <c r="K177" t="str">
        <f>"4"</f>
        <v>4</v>
      </c>
      <c r="L177" t="str">
        <f>"TN"</f>
        <v>TN</v>
      </c>
      <c r="M177" t="str">
        <f>"9.078"</f>
        <v>9.078</v>
      </c>
      <c r="N177" t="str">
        <f>"2.644"</f>
        <v>2.644</v>
      </c>
      <c r="O177" t="str">
        <f>"NPOC:16.40mg/L TN:2.514mg/L"</f>
        <v>NPOC:16.40mg/L TN:2.514mg/L</v>
      </c>
      <c r="P177">
        <v>1</v>
      </c>
      <c r="Q177" t="str">
        <f>"80"</f>
        <v>80</v>
      </c>
    </row>
    <row r="178" spans="1:17" x14ac:dyDescent="0.2">
      <c r="A178" t="str">
        <f>"Unknown"</f>
        <v>Unknown</v>
      </c>
      <c r="B178" t="str">
        <f>"NPOC/TN"</f>
        <v>NPOC/TN</v>
      </c>
      <c r="C178" t="str">
        <f>"1128"</f>
        <v>1128</v>
      </c>
      <c r="D178" t="str">
        <f>"DI"</f>
        <v>DI</v>
      </c>
      <c r="E178" t="str">
        <f>"C:\TOC3201\Methods\Itamar\acid_sample.met"</f>
        <v>C:\TOC3201\Methods\Itamar\acid_sample.met</v>
      </c>
      <c r="F178" t="str">
        <f>"C:\TOC3201\CalCurves\Itamar\N_cal_25ppm_acid_laurel.2019_08_21_15_23_49.cal"</f>
        <v>C:\TOC3201\CalCurves\Itamar\N_cal_25ppm_acid_laurel.2019_08_21_15_23_49.cal</v>
      </c>
      <c r="G178">
        <v>1</v>
      </c>
      <c r="H178" t="str">
        <f>""</f>
        <v/>
      </c>
      <c r="I178" t="str">
        <f>"8/21/2019 11:03:11 PM"</f>
        <v>8/21/2019 11:03:11 PM</v>
      </c>
      <c r="J178" t="str">
        <f>"1"</f>
        <v>1</v>
      </c>
      <c r="K178" t="str">
        <f>"5"</f>
        <v>5</v>
      </c>
      <c r="L178" t="str">
        <f>"TN"</f>
        <v>TN</v>
      </c>
      <c r="M178" t="str">
        <f>"8.373"</f>
        <v>8.373</v>
      </c>
      <c r="N178" t="str">
        <f>"2.451"</f>
        <v>2.451</v>
      </c>
      <c r="O178" t="str">
        <f>"NPOC:16.40mg/L TN:2.514mg/L"</f>
        <v>NPOC:16.40mg/L TN:2.514mg/L</v>
      </c>
      <c r="P178">
        <v>0</v>
      </c>
      <c r="Q178" t="str">
        <f>"80"</f>
        <v>80</v>
      </c>
    </row>
    <row r="179" spans="1:17" x14ac:dyDescent="0.2">
      <c r="A179" t="str">
        <f>"Unknown"</f>
        <v>Unknown</v>
      </c>
      <c r="B179" t="str">
        <f>"NPOC/TN"</f>
        <v>NPOC/TN</v>
      </c>
      <c r="C179" t="str">
        <f>"1130"</f>
        <v>1130</v>
      </c>
      <c r="D179" t="str">
        <f>"DI"</f>
        <v>DI</v>
      </c>
      <c r="E179" t="str">
        <f>"C:\TOC3201\Methods\Itamar\acid_sample.met"</f>
        <v>C:\TOC3201\Methods\Itamar\acid_sample.met</v>
      </c>
      <c r="F179" t="str">
        <f>"C:\TOC3201\CalCurves\Itamar\C_cal_100ppm_acid_laurel.2019_08_21_13_17_46.cal"</f>
        <v>C:\TOC3201\CalCurves\Itamar\C_cal_100ppm_acid_laurel.2019_08_21_13_17_46.cal</v>
      </c>
      <c r="G179">
        <v>1</v>
      </c>
      <c r="H179" t="str">
        <f>""</f>
        <v/>
      </c>
      <c r="I179" t="str">
        <f>"8/21/2019 11:12:33 PM"</f>
        <v>8/21/2019 11:12:33 PM</v>
      </c>
      <c r="J179" t="str">
        <f>"1"</f>
        <v>1</v>
      </c>
      <c r="K179" t="str">
        <f>"1"</f>
        <v>1</v>
      </c>
      <c r="L179" t="str">
        <f>"NPOC"</f>
        <v>NPOC</v>
      </c>
      <c r="M179" t="str">
        <f>"11.46"</f>
        <v>11.46</v>
      </c>
      <c r="N179" t="str">
        <f>"2.018"</f>
        <v>2.018</v>
      </c>
      <c r="O179" t="str">
        <f>"NPOC:2.101mg/L TN:0.1544mg/L"</f>
        <v>NPOC:2.101mg/L TN:0.1544mg/L</v>
      </c>
      <c r="P179">
        <v>1</v>
      </c>
      <c r="Q179" t="str">
        <f>"80"</f>
        <v>80</v>
      </c>
    </row>
    <row r="180" spans="1:17" x14ac:dyDescent="0.2">
      <c r="A180" t="str">
        <f>"Unknown"</f>
        <v>Unknown</v>
      </c>
      <c r="B180" t="str">
        <f>"NPOC/TN"</f>
        <v>NPOC/TN</v>
      </c>
      <c r="C180" t="str">
        <f>"1130"</f>
        <v>1130</v>
      </c>
      <c r="D180" t="str">
        <f>"DI"</f>
        <v>DI</v>
      </c>
      <c r="E180" t="str">
        <f>"C:\TOC3201\Methods\Itamar\acid_sample.met"</f>
        <v>C:\TOC3201\Methods\Itamar\acid_sample.met</v>
      </c>
      <c r="F180" t="str">
        <f>"C:\TOC3201\CalCurves\Itamar\C_cal_100ppm_acid_laurel.2019_08_21_13_17_46.cal"</f>
        <v>C:\TOC3201\CalCurves\Itamar\C_cal_100ppm_acid_laurel.2019_08_21_13_17_46.cal</v>
      </c>
      <c r="G180">
        <v>1</v>
      </c>
      <c r="H180" t="str">
        <f>""</f>
        <v/>
      </c>
      <c r="I180" t="str">
        <f>"8/21/2019 11:15:36 PM"</f>
        <v>8/21/2019 11:15:36 PM</v>
      </c>
      <c r="J180" t="str">
        <f>"1"</f>
        <v>1</v>
      </c>
      <c r="K180" t="str">
        <f>"2"</f>
        <v>2</v>
      </c>
      <c r="L180" t="str">
        <f>"NPOC"</f>
        <v>NPOC</v>
      </c>
      <c r="M180" t="str">
        <f>"11.68"</f>
        <v>11.68</v>
      </c>
      <c r="N180" t="str">
        <f>"2.063"</f>
        <v>2.063</v>
      </c>
      <c r="O180" t="str">
        <f>"NPOC:2.101mg/L TN:0.1544mg/L"</f>
        <v>NPOC:2.101mg/L TN:0.1544mg/L</v>
      </c>
      <c r="P180">
        <v>0</v>
      </c>
      <c r="Q180" t="str">
        <f>"80"</f>
        <v>80</v>
      </c>
    </row>
    <row r="181" spans="1:17" x14ac:dyDescent="0.2">
      <c r="A181" t="str">
        <f>"Unknown"</f>
        <v>Unknown</v>
      </c>
      <c r="B181" t="str">
        <f>"NPOC/TN"</f>
        <v>NPOC/TN</v>
      </c>
      <c r="C181" t="str">
        <f>"1130"</f>
        <v>1130</v>
      </c>
      <c r="D181" t="str">
        <f>"DI"</f>
        <v>DI</v>
      </c>
      <c r="E181" t="str">
        <f>"C:\TOC3201\Methods\Itamar\acid_sample.met"</f>
        <v>C:\TOC3201\Methods\Itamar\acid_sample.met</v>
      </c>
      <c r="F181" t="str">
        <f>"C:\TOC3201\CalCurves\Itamar\C_cal_100ppm_acid_laurel.2019_08_21_13_17_46.cal"</f>
        <v>C:\TOC3201\CalCurves\Itamar\C_cal_100ppm_acid_laurel.2019_08_21_13_17_46.cal</v>
      </c>
      <c r="G181">
        <v>1</v>
      </c>
      <c r="H181" t="str">
        <f>""</f>
        <v/>
      </c>
      <c r="I181" t="str">
        <f>"8/21/2019 11:18:41 PM"</f>
        <v>8/21/2019 11:18:41 PM</v>
      </c>
      <c r="J181" t="str">
        <f>"1"</f>
        <v>1</v>
      </c>
      <c r="K181" t="str">
        <f>"3"</f>
        <v>3</v>
      </c>
      <c r="L181" t="str">
        <f>"NPOC"</f>
        <v>NPOC</v>
      </c>
      <c r="M181" t="str">
        <f>"12.01"</f>
        <v>12.01</v>
      </c>
      <c r="N181" t="str">
        <f>"2.131"</f>
        <v>2.131</v>
      </c>
      <c r="O181" t="str">
        <f>"NPOC:2.101mg/L TN:0.1544mg/L"</f>
        <v>NPOC:2.101mg/L TN:0.1544mg/L</v>
      </c>
      <c r="P181">
        <v>0</v>
      </c>
      <c r="Q181" t="str">
        <f>"80"</f>
        <v>80</v>
      </c>
    </row>
    <row r="182" spans="1:17" x14ac:dyDescent="0.2">
      <c r="A182" t="str">
        <f>"Unknown"</f>
        <v>Unknown</v>
      </c>
      <c r="B182" t="str">
        <f>"NPOC/TN"</f>
        <v>NPOC/TN</v>
      </c>
      <c r="C182" t="str">
        <f>"1130"</f>
        <v>1130</v>
      </c>
      <c r="D182" t="str">
        <f>"DI"</f>
        <v>DI</v>
      </c>
      <c r="E182" t="str">
        <f>"C:\TOC3201\Methods\Itamar\acid_sample.met"</f>
        <v>C:\TOC3201\Methods\Itamar\acid_sample.met</v>
      </c>
      <c r="F182" t="str">
        <f>"C:\TOC3201\CalCurves\Itamar\C_cal_100ppm_acid_laurel.2019_08_21_13_17_46.cal"</f>
        <v>C:\TOC3201\CalCurves\Itamar\C_cal_100ppm_acid_laurel.2019_08_21_13_17_46.cal</v>
      </c>
      <c r="G182">
        <v>1</v>
      </c>
      <c r="H182" t="str">
        <f>""</f>
        <v/>
      </c>
      <c r="I182" t="str">
        <f>"8/21/2019 11:21:41 PM"</f>
        <v>8/21/2019 11:21:41 PM</v>
      </c>
      <c r="J182" t="str">
        <f>"1"</f>
        <v>1</v>
      </c>
      <c r="K182" t="str">
        <f>"4"</f>
        <v>4</v>
      </c>
      <c r="L182" t="str">
        <f>"NPOC"</f>
        <v>NPOC</v>
      </c>
      <c r="M182" t="str">
        <f>"11.91"</f>
        <v>11.91</v>
      </c>
      <c r="N182" t="str">
        <f>"2.110"</f>
        <v>2.110</v>
      </c>
      <c r="O182" t="str">
        <f>"NPOC:2.101mg/L TN:0.1544mg/L"</f>
        <v>NPOC:2.101mg/L TN:0.1544mg/L</v>
      </c>
      <c r="P182">
        <v>0</v>
      </c>
      <c r="Q182" t="str">
        <f>"80"</f>
        <v>80</v>
      </c>
    </row>
    <row r="183" spans="1:17" x14ac:dyDescent="0.2">
      <c r="A183" t="str">
        <f>"Unknown"</f>
        <v>Unknown</v>
      </c>
      <c r="B183" t="str">
        <f>"NPOC/TN"</f>
        <v>NPOC/TN</v>
      </c>
      <c r="C183" t="str">
        <f>"1130"</f>
        <v>1130</v>
      </c>
      <c r="D183" t="str">
        <f>"DI"</f>
        <v>DI</v>
      </c>
      <c r="E183" t="str">
        <f>"C:\TOC3201\Methods\Itamar\acid_sample.met"</f>
        <v>C:\TOC3201\Methods\Itamar\acid_sample.met</v>
      </c>
      <c r="F183" t="str">
        <f>"C:\TOC3201\CalCurves\Itamar\N_cal_25ppm_acid_laurel.2019_08_21_15_23_49.cal"</f>
        <v>C:\TOC3201\CalCurves\Itamar\N_cal_25ppm_acid_laurel.2019_08_21_15_23_49.cal</v>
      </c>
      <c r="G183">
        <v>1</v>
      </c>
      <c r="H183" t="str">
        <f>""</f>
        <v/>
      </c>
      <c r="I183" t="str">
        <f>"8/21/2019 11:12:33 PM"</f>
        <v>8/21/2019 11:12:33 PM</v>
      </c>
      <c r="J183" t="str">
        <f>"1"</f>
        <v>1</v>
      </c>
      <c r="K183" t="str">
        <f>"1"</f>
        <v>1</v>
      </c>
      <c r="L183" t="str">
        <f>"TN"</f>
        <v>TN</v>
      </c>
      <c r="M183" t="str">
        <f>"0.000"</f>
        <v>0.000</v>
      </c>
      <c r="N183" t="str">
        <f>"0.1544"</f>
        <v>0.1544</v>
      </c>
      <c r="O183" t="str">
        <f>"NPOC:2.101mg/L TN:0.1544mg/L"</f>
        <v>NPOC:2.101mg/L TN:0.1544mg/L</v>
      </c>
      <c r="P183">
        <v>0</v>
      </c>
      <c r="Q183" t="str">
        <f>"80"</f>
        <v>80</v>
      </c>
    </row>
    <row r="184" spans="1:17" x14ac:dyDescent="0.2">
      <c r="A184" t="str">
        <f>"Unknown"</f>
        <v>Unknown</v>
      </c>
      <c r="B184" t="str">
        <f>"NPOC/TN"</f>
        <v>NPOC/TN</v>
      </c>
      <c r="C184" t="str">
        <f>"1130"</f>
        <v>1130</v>
      </c>
      <c r="D184" t="str">
        <f>"DI"</f>
        <v>DI</v>
      </c>
      <c r="E184" t="str">
        <f>"C:\TOC3201\Methods\Itamar\acid_sample.met"</f>
        <v>C:\TOC3201\Methods\Itamar\acid_sample.met</v>
      </c>
      <c r="F184" t="str">
        <f>"C:\TOC3201\CalCurves\Itamar\N_cal_25ppm_acid_laurel.2019_08_21_15_23_49.cal"</f>
        <v>C:\TOC3201\CalCurves\Itamar\N_cal_25ppm_acid_laurel.2019_08_21_15_23_49.cal</v>
      </c>
      <c r="G184">
        <v>1</v>
      </c>
      <c r="H184" t="str">
        <f>""</f>
        <v/>
      </c>
      <c r="I184" t="str">
        <f>"8/21/2019 11:15:36 PM"</f>
        <v>8/21/2019 11:15:36 PM</v>
      </c>
      <c r="J184" t="str">
        <f>"1"</f>
        <v>1</v>
      </c>
      <c r="K184" t="str">
        <f>"2"</f>
        <v>2</v>
      </c>
      <c r="L184" t="str">
        <f>"TN"</f>
        <v>TN</v>
      </c>
      <c r="M184" t="str">
        <f>"0.000"</f>
        <v>0.000</v>
      </c>
      <c r="N184" t="str">
        <f>"0.1544"</f>
        <v>0.1544</v>
      </c>
      <c r="O184" t="str">
        <f>"NPOC:2.101mg/L TN:0.1544mg/L"</f>
        <v>NPOC:2.101mg/L TN:0.1544mg/L</v>
      </c>
      <c r="P184">
        <v>0</v>
      </c>
      <c r="Q184" t="str">
        <f>"80"</f>
        <v>80</v>
      </c>
    </row>
    <row r="185" spans="1:17" x14ac:dyDescent="0.2">
      <c r="A185" t="str">
        <f>"Unknown"</f>
        <v>Unknown</v>
      </c>
      <c r="B185" t="str">
        <f>"NPOC/TN"</f>
        <v>NPOC/TN</v>
      </c>
      <c r="C185" t="str">
        <f>"1130"</f>
        <v>1130</v>
      </c>
      <c r="D185" t="str">
        <f>"DI"</f>
        <v>DI</v>
      </c>
      <c r="E185" t="str">
        <f>"C:\TOC3201\Methods\Itamar\acid_sample.met"</f>
        <v>C:\TOC3201\Methods\Itamar\acid_sample.met</v>
      </c>
      <c r="F185" t="str">
        <f>"C:\TOC3201\CalCurves\Itamar\N_cal_25ppm_acid_laurel.2019_08_21_15_23_49.cal"</f>
        <v>C:\TOC3201\CalCurves\Itamar\N_cal_25ppm_acid_laurel.2019_08_21_15_23_49.cal</v>
      </c>
      <c r="G185">
        <v>1</v>
      </c>
      <c r="H185" t="str">
        <f>""</f>
        <v/>
      </c>
      <c r="I185" t="str">
        <f>"8/21/2019 11:18:41 PM"</f>
        <v>8/21/2019 11:18:41 PM</v>
      </c>
      <c r="J185" t="str">
        <f>"1"</f>
        <v>1</v>
      </c>
      <c r="K185" t="str">
        <f>"3"</f>
        <v>3</v>
      </c>
      <c r="L185" t="str">
        <f>"TN"</f>
        <v>TN</v>
      </c>
      <c r="M185" t="str">
        <f>"0.000"</f>
        <v>0.000</v>
      </c>
      <c r="N185" t="str">
        <f>"0.1544"</f>
        <v>0.1544</v>
      </c>
      <c r="O185" t="str">
        <f>"NPOC:2.101mg/L TN:0.1544mg/L"</f>
        <v>NPOC:2.101mg/L TN:0.1544mg/L</v>
      </c>
      <c r="P185">
        <v>0</v>
      </c>
      <c r="Q185" t="str">
        <f>"80"</f>
        <v>80</v>
      </c>
    </row>
    <row r="186" spans="1:17" x14ac:dyDescent="0.2">
      <c r="A186" t="str">
        <f>"Unknown"</f>
        <v>Unknown</v>
      </c>
      <c r="B186" t="str">
        <f>"NPOC/TN"</f>
        <v>NPOC/TN</v>
      </c>
      <c r="C186" t="str">
        <f>"1132"</f>
        <v>1132</v>
      </c>
      <c r="D186" t="str">
        <f>"DI"</f>
        <v>DI</v>
      </c>
      <c r="E186" t="str">
        <f>"C:\TOC3201\Methods\Itamar\acid_sample.met"</f>
        <v>C:\TOC3201\Methods\Itamar\acid_sample.met</v>
      </c>
      <c r="F186" t="str">
        <f>"C:\TOC3201\CalCurves\Itamar\C_cal_100ppm_acid_laurel.2019_08_21_13_17_46.cal"</f>
        <v>C:\TOC3201\CalCurves\Itamar\C_cal_100ppm_acid_laurel.2019_08_21_13_17_46.cal</v>
      </c>
      <c r="G186">
        <v>1</v>
      </c>
      <c r="H186" t="str">
        <f>""</f>
        <v/>
      </c>
      <c r="I186" t="str">
        <f>"8/21/2019 11:31:13 PM"</f>
        <v>8/21/2019 11:31:13 PM</v>
      </c>
      <c r="J186" t="str">
        <f>"1"</f>
        <v>1</v>
      </c>
      <c r="K186" t="str">
        <f>"1"</f>
        <v>1</v>
      </c>
      <c r="L186" t="str">
        <f>"NPOC"</f>
        <v>NPOC</v>
      </c>
      <c r="M186" t="str">
        <f>"9.571"</f>
        <v>9.571</v>
      </c>
      <c r="N186" t="str">
        <f>"1.632"</f>
        <v>1.632</v>
      </c>
      <c r="O186" t="str">
        <f>"NPOC:1.786mg/L TN:0.1544mg/L"</f>
        <v>NPOC:1.786mg/L TN:0.1544mg/L</v>
      </c>
      <c r="P186">
        <v>1</v>
      </c>
      <c r="Q186" t="str">
        <f>"80"</f>
        <v>80</v>
      </c>
    </row>
    <row r="187" spans="1:17" x14ac:dyDescent="0.2">
      <c r="A187" t="str">
        <f>"Unknown"</f>
        <v>Unknown</v>
      </c>
      <c r="B187" t="str">
        <f>"NPOC/TN"</f>
        <v>NPOC/TN</v>
      </c>
      <c r="C187" t="str">
        <f>"1132"</f>
        <v>1132</v>
      </c>
      <c r="D187" t="str">
        <f>"DI"</f>
        <v>DI</v>
      </c>
      <c r="E187" t="str">
        <f>"C:\TOC3201\Methods\Itamar\acid_sample.met"</f>
        <v>C:\TOC3201\Methods\Itamar\acid_sample.met</v>
      </c>
      <c r="F187" t="str">
        <f>"C:\TOC3201\CalCurves\Itamar\C_cal_100ppm_acid_laurel.2019_08_21_13_17_46.cal"</f>
        <v>C:\TOC3201\CalCurves\Itamar\C_cal_100ppm_acid_laurel.2019_08_21_13_17_46.cal</v>
      </c>
      <c r="G187">
        <v>1</v>
      </c>
      <c r="H187" t="str">
        <f>""</f>
        <v/>
      </c>
      <c r="I187" t="str">
        <f>"8/21/2019 11:34:14 PM"</f>
        <v>8/21/2019 11:34:14 PM</v>
      </c>
      <c r="J187" t="str">
        <f>"1"</f>
        <v>1</v>
      </c>
      <c r="K187" t="str">
        <f>"2"</f>
        <v>2</v>
      </c>
      <c r="L187" t="str">
        <f>"NPOC"</f>
        <v>NPOC</v>
      </c>
      <c r="M187" t="str">
        <f>"10.25"</f>
        <v>10.25</v>
      </c>
      <c r="N187" t="str">
        <f>"1.771"</f>
        <v>1.771</v>
      </c>
      <c r="O187" t="str">
        <f>"NPOC:1.786mg/L TN:0.1544mg/L"</f>
        <v>NPOC:1.786mg/L TN:0.1544mg/L</v>
      </c>
      <c r="P187">
        <v>0</v>
      </c>
      <c r="Q187" t="str">
        <f>"80"</f>
        <v>80</v>
      </c>
    </row>
    <row r="188" spans="1:17" x14ac:dyDescent="0.2">
      <c r="A188" t="str">
        <f>"Unknown"</f>
        <v>Unknown</v>
      </c>
      <c r="B188" t="str">
        <f>"NPOC/TN"</f>
        <v>NPOC/TN</v>
      </c>
      <c r="C188" t="str">
        <f>"1132"</f>
        <v>1132</v>
      </c>
      <c r="D188" t="str">
        <f>"DI"</f>
        <v>DI</v>
      </c>
      <c r="E188" t="str">
        <f>"C:\TOC3201\Methods\Itamar\acid_sample.met"</f>
        <v>C:\TOC3201\Methods\Itamar\acid_sample.met</v>
      </c>
      <c r="F188" t="str">
        <f>"C:\TOC3201\CalCurves\Itamar\C_cal_100ppm_acid_laurel.2019_08_21_13_17_46.cal"</f>
        <v>C:\TOC3201\CalCurves\Itamar\C_cal_100ppm_acid_laurel.2019_08_21_13_17_46.cal</v>
      </c>
      <c r="G188">
        <v>1</v>
      </c>
      <c r="H188" t="str">
        <f>""</f>
        <v/>
      </c>
      <c r="I188" t="str">
        <f>"8/21/2019 11:37:12 PM"</f>
        <v>8/21/2019 11:37:12 PM</v>
      </c>
      <c r="J188" t="str">
        <f>"1"</f>
        <v>1</v>
      </c>
      <c r="K188" t="str">
        <f>"3"</f>
        <v>3</v>
      </c>
      <c r="L188" t="str">
        <f>"NPOC"</f>
        <v>NPOC</v>
      </c>
      <c r="M188" t="str">
        <f>"10.40"</f>
        <v>10.40</v>
      </c>
      <c r="N188" t="str">
        <f>"1.801"</f>
        <v>1.801</v>
      </c>
      <c r="O188" t="str">
        <f>"NPOC:1.786mg/L TN:0.1544mg/L"</f>
        <v>NPOC:1.786mg/L TN:0.1544mg/L</v>
      </c>
      <c r="P188">
        <v>0</v>
      </c>
      <c r="Q188" t="str">
        <f>"80"</f>
        <v>80</v>
      </c>
    </row>
    <row r="189" spans="1:17" x14ac:dyDescent="0.2">
      <c r="A189" t="str">
        <f>"Unknown"</f>
        <v>Unknown</v>
      </c>
      <c r="B189" t="str">
        <f>"NPOC/TN"</f>
        <v>NPOC/TN</v>
      </c>
      <c r="C189" t="str">
        <f>"1132"</f>
        <v>1132</v>
      </c>
      <c r="D189" t="str">
        <f>"DI"</f>
        <v>DI</v>
      </c>
      <c r="E189" t="str">
        <f>"C:\TOC3201\Methods\Itamar\acid_sample.met"</f>
        <v>C:\TOC3201\Methods\Itamar\acid_sample.met</v>
      </c>
      <c r="F189" t="str">
        <f>"C:\TOC3201\CalCurves\Itamar\C_cal_100ppm_acid_laurel.2019_08_21_13_17_46.cal"</f>
        <v>C:\TOC3201\CalCurves\Itamar\C_cal_100ppm_acid_laurel.2019_08_21_13_17_46.cal</v>
      </c>
      <c r="G189">
        <v>1</v>
      </c>
      <c r="H189" t="str">
        <f>""</f>
        <v/>
      </c>
      <c r="I189" t="str">
        <f>"8/21/2019 11:40:11 PM"</f>
        <v>8/21/2019 11:40:11 PM</v>
      </c>
      <c r="J189" t="str">
        <f>"1"</f>
        <v>1</v>
      </c>
      <c r="K189" t="str">
        <f>"4"</f>
        <v>4</v>
      </c>
      <c r="L189" t="str">
        <f>"NPOC"</f>
        <v>NPOC</v>
      </c>
      <c r="M189" t="str">
        <f>"10.32"</f>
        <v>10.32</v>
      </c>
      <c r="N189" t="str">
        <f>"1.785"</f>
        <v>1.785</v>
      </c>
      <c r="O189" t="str">
        <f>"NPOC:1.786mg/L TN:0.1544mg/L"</f>
        <v>NPOC:1.786mg/L TN:0.1544mg/L</v>
      </c>
      <c r="P189">
        <v>0</v>
      </c>
      <c r="Q189" t="str">
        <f>"80"</f>
        <v>80</v>
      </c>
    </row>
    <row r="190" spans="1:17" x14ac:dyDescent="0.2">
      <c r="A190" t="str">
        <f>"Unknown"</f>
        <v>Unknown</v>
      </c>
      <c r="B190" t="str">
        <f>"NPOC/TN"</f>
        <v>NPOC/TN</v>
      </c>
      <c r="C190" t="str">
        <f>"1132"</f>
        <v>1132</v>
      </c>
      <c r="D190" t="str">
        <f>"DI"</f>
        <v>DI</v>
      </c>
      <c r="E190" t="str">
        <f>"C:\TOC3201\Methods\Itamar\acid_sample.met"</f>
        <v>C:\TOC3201\Methods\Itamar\acid_sample.met</v>
      </c>
      <c r="F190" t="str">
        <f>"C:\TOC3201\CalCurves\Itamar\N_cal_25ppm_acid_laurel.2019_08_21_15_23_49.cal"</f>
        <v>C:\TOC3201\CalCurves\Itamar\N_cal_25ppm_acid_laurel.2019_08_21_15_23_49.cal</v>
      </c>
      <c r="G190">
        <v>1</v>
      </c>
      <c r="H190" t="str">
        <f>""</f>
        <v/>
      </c>
      <c r="I190" t="str">
        <f>"8/21/2019 11:31:13 PM"</f>
        <v>8/21/2019 11:31:13 PM</v>
      </c>
      <c r="J190" t="str">
        <f>"1"</f>
        <v>1</v>
      </c>
      <c r="K190" t="str">
        <f>"1"</f>
        <v>1</v>
      </c>
      <c r="L190" t="str">
        <f>"TN"</f>
        <v>TN</v>
      </c>
      <c r="M190" t="str">
        <f>"0.000"</f>
        <v>0.000</v>
      </c>
      <c r="N190" t="str">
        <f>"0.1544"</f>
        <v>0.1544</v>
      </c>
      <c r="O190" t="str">
        <f>"NPOC:1.786mg/L TN:0.1544mg/L"</f>
        <v>NPOC:1.786mg/L TN:0.1544mg/L</v>
      </c>
      <c r="P190">
        <v>0</v>
      </c>
      <c r="Q190" t="str">
        <f>"80"</f>
        <v>80</v>
      </c>
    </row>
    <row r="191" spans="1:17" x14ac:dyDescent="0.2">
      <c r="A191" t="str">
        <f>"Unknown"</f>
        <v>Unknown</v>
      </c>
      <c r="B191" t="str">
        <f>"NPOC/TN"</f>
        <v>NPOC/TN</v>
      </c>
      <c r="C191" t="str">
        <f>"1132"</f>
        <v>1132</v>
      </c>
      <c r="D191" t="str">
        <f>"DI"</f>
        <v>DI</v>
      </c>
      <c r="E191" t="str">
        <f>"C:\TOC3201\Methods\Itamar\acid_sample.met"</f>
        <v>C:\TOC3201\Methods\Itamar\acid_sample.met</v>
      </c>
      <c r="F191" t="str">
        <f>"C:\TOC3201\CalCurves\Itamar\N_cal_25ppm_acid_laurel.2019_08_21_15_23_49.cal"</f>
        <v>C:\TOC3201\CalCurves\Itamar\N_cal_25ppm_acid_laurel.2019_08_21_15_23_49.cal</v>
      </c>
      <c r="G191">
        <v>1</v>
      </c>
      <c r="H191" t="str">
        <f>""</f>
        <v/>
      </c>
      <c r="I191" t="str">
        <f>"8/21/2019 11:34:14 PM"</f>
        <v>8/21/2019 11:34:14 PM</v>
      </c>
      <c r="J191" t="str">
        <f>"1"</f>
        <v>1</v>
      </c>
      <c r="K191" t="str">
        <f>"2"</f>
        <v>2</v>
      </c>
      <c r="L191" t="str">
        <f>"TN"</f>
        <v>TN</v>
      </c>
      <c r="M191" t="str">
        <f>"0.000"</f>
        <v>0.000</v>
      </c>
      <c r="N191" t="str">
        <f>"0.1544"</f>
        <v>0.1544</v>
      </c>
      <c r="O191" t="str">
        <f>"NPOC:1.786mg/L TN:0.1544mg/L"</f>
        <v>NPOC:1.786mg/L TN:0.1544mg/L</v>
      </c>
      <c r="P191">
        <v>0</v>
      </c>
      <c r="Q191" t="str">
        <f>"80"</f>
        <v>80</v>
      </c>
    </row>
    <row r="192" spans="1:17" x14ac:dyDescent="0.2">
      <c r="A192" t="str">
        <f>"Unknown"</f>
        <v>Unknown</v>
      </c>
      <c r="B192" t="str">
        <f>"NPOC/TN"</f>
        <v>NPOC/TN</v>
      </c>
      <c r="C192" t="str">
        <f>"1132"</f>
        <v>1132</v>
      </c>
      <c r="D192" t="str">
        <f>"DI"</f>
        <v>DI</v>
      </c>
      <c r="E192" t="str">
        <f>"C:\TOC3201\Methods\Itamar\acid_sample.met"</f>
        <v>C:\TOC3201\Methods\Itamar\acid_sample.met</v>
      </c>
      <c r="F192" t="str">
        <f>"C:\TOC3201\CalCurves\Itamar\N_cal_25ppm_acid_laurel.2019_08_21_15_23_49.cal"</f>
        <v>C:\TOC3201\CalCurves\Itamar\N_cal_25ppm_acid_laurel.2019_08_21_15_23_49.cal</v>
      </c>
      <c r="G192">
        <v>1</v>
      </c>
      <c r="H192" t="str">
        <f>""</f>
        <v/>
      </c>
      <c r="I192" t="str">
        <f>"8/21/2019 11:37:12 PM"</f>
        <v>8/21/2019 11:37:12 PM</v>
      </c>
      <c r="J192" t="str">
        <f>"1"</f>
        <v>1</v>
      </c>
      <c r="K192" t="str">
        <f>"3"</f>
        <v>3</v>
      </c>
      <c r="L192" t="str">
        <f>"TN"</f>
        <v>TN</v>
      </c>
      <c r="M192" t="str">
        <f>"0.000"</f>
        <v>0.000</v>
      </c>
      <c r="N192" t="str">
        <f>"0.1544"</f>
        <v>0.1544</v>
      </c>
      <c r="O192" t="str">
        <f>"NPOC:1.786mg/L TN:0.1544mg/L"</f>
        <v>NPOC:1.786mg/L TN:0.1544mg/L</v>
      </c>
      <c r="P192">
        <v>0</v>
      </c>
      <c r="Q192" t="str">
        <f>"80"</f>
        <v>80</v>
      </c>
    </row>
    <row r="193" spans="1:17" x14ac:dyDescent="0.2">
      <c r="A193" t="str">
        <f>"Unknown"</f>
        <v>Unknown</v>
      </c>
      <c r="B193" t="str">
        <f>"NPOC/TN"</f>
        <v>NPOC/TN</v>
      </c>
      <c r="C193" t="str">
        <f>"DI"</f>
        <v>DI</v>
      </c>
      <c r="D193" t="str">
        <f>"DI"</f>
        <v>DI</v>
      </c>
      <c r="E193" t="str">
        <f>"C:\TOC3201\Methods\Itamar\acid_sample.met"</f>
        <v>C:\TOC3201\Methods\Itamar\acid_sample.met</v>
      </c>
      <c r="F193" t="str">
        <f>"C:\TOC3201\CalCurves\Itamar\C_cal_100ppm_acid_laurel.2019_08_21_13_17_46.cal"</f>
        <v>C:\TOC3201\CalCurves\Itamar\C_cal_100ppm_acid_laurel.2019_08_21_13_17_46.cal</v>
      </c>
      <c r="G193">
        <v>1</v>
      </c>
      <c r="H193" t="str">
        <f>""</f>
        <v/>
      </c>
      <c r="I193" t="str">
        <f>"8/21/2019 11:49:12 PM"</f>
        <v>8/21/2019 11:49:12 PM</v>
      </c>
      <c r="J193" t="str">
        <f>"1"</f>
        <v>1</v>
      </c>
      <c r="K193" t="str">
        <f>"1"</f>
        <v>1</v>
      </c>
      <c r="L193" t="str">
        <f>"NPOC"</f>
        <v>NPOC</v>
      </c>
      <c r="M193" t="str">
        <f>"0.000"</f>
        <v>0.000</v>
      </c>
      <c r="N193" t="str">
        <f>"-0.3249"</f>
        <v>-0.3249</v>
      </c>
      <c r="O193" t="str">
        <f>"NPOC:-0.2665mg/L TN:0.1544mg/L"</f>
        <v>NPOC:-0.2665mg/L TN:0.1544mg/L</v>
      </c>
      <c r="P193">
        <v>1</v>
      </c>
      <c r="Q193" t="str">
        <f>"80"</f>
        <v>80</v>
      </c>
    </row>
    <row r="194" spans="1:17" x14ac:dyDescent="0.2">
      <c r="A194" t="str">
        <f>"Unknown"</f>
        <v>Unknown</v>
      </c>
      <c r="B194" t="str">
        <f>"NPOC/TN"</f>
        <v>NPOC/TN</v>
      </c>
      <c r="C194" t="str">
        <f>"DI"</f>
        <v>DI</v>
      </c>
      <c r="D194" t="str">
        <f>"DI"</f>
        <v>DI</v>
      </c>
      <c r="E194" t="str">
        <f>"C:\TOC3201\Methods\Itamar\acid_sample.met"</f>
        <v>C:\TOC3201\Methods\Itamar\acid_sample.met</v>
      </c>
      <c r="F194" t="str">
        <f>"C:\TOC3201\CalCurves\Itamar\C_cal_100ppm_acid_laurel.2019_08_21_13_17_46.cal"</f>
        <v>C:\TOC3201\CalCurves\Itamar\C_cal_100ppm_acid_laurel.2019_08_21_13_17_46.cal</v>
      </c>
      <c r="G194">
        <v>1</v>
      </c>
      <c r="H194" t="str">
        <f>""</f>
        <v/>
      </c>
      <c r="I194" t="str">
        <f>"8/21/2019 11:51:18 PM"</f>
        <v>8/21/2019 11:51:18 PM</v>
      </c>
      <c r="J194" t="str">
        <f>"1"</f>
        <v>1</v>
      </c>
      <c r="K194" t="str">
        <f>"2"</f>
        <v>2</v>
      </c>
      <c r="L194" t="str">
        <f>"NPOC"</f>
        <v>NPOC</v>
      </c>
      <c r="M194" t="str">
        <f>"0.2231"</f>
        <v>0.2231</v>
      </c>
      <c r="N194" t="str">
        <f>"-0.2793"</f>
        <v>-0.2793</v>
      </c>
      <c r="O194" t="str">
        <f>"NPOC:-0.2665mg/L TN:0.1544mg/L"</f>
        <v>NPOC:-0.2665mg/L TN:0.1544mg/L</v>
      </c>
      <c r="P194">
        <v>0</v>
      </c>
      <c r="Q194" t="str">
        <f>"80"</f>
        <v>80</v>
      </c>
    </row>
    <row r="195" spans="1:17" x14ac:dyDescent="0.2">
      <c r="A195" t="str">
        <f>"Unknown"</f>
        <v>Unknown</v>
      </c>
      <c r="B195" t="str">
        <f>"NPOC/TN"</f>
        <v>NPOC/TN</v>
      </c>
      <c r="C195" t="str">
        <f>"DI"</f>
        <v>DI</v>
      </c>
      <c r="D195" t="str">
        <f>"DI"</f>
        <v>DI</v>
      </c>
      <c r="E195" t="str">
        <f>"C:\TOC3201\Methods\Itamar\acid_sample.met"</f>
        <v>C:\TOC3201\Methods\Itamar\acid_sample.met</v>
      </c>
      <c r="F195" t="str">
        <f>"C:\TOC3201\CalCurves\Itamar\C_cal_100ppm_acid_laurel.2019_08_21_13_17_46.cal"</f>
        <v>C:\TOC3201\CalCurves\Itamar\C_cal_100ppm_acid_laurel.2019_08_21_13_17_46.cal</v>
      </c>
      <c r="G195">
        <v>1</v>
      </c>
      <c r="H195" t="str">
        <f>""</f>
        <v/>
      </c>
      <c r="I195" t="str">
        <f>"8/21/2019 11:53:22 PM"</f>
        <v>8/21/2019 11:53:22 PM</v>
      </c>
      <c r="J195" t="str">
        <f>"1"</f>
        <v>1</v>
      </c>
      <c r="K195" t="str">
        <f>"3"</f>
        <v>3</v>
      </c>
      <c r="L195" t="str">
        <f>"NPOC"</f>
        <v>NPOC</v>
      </c>
      <c r="M195" t="str">
        <f>"0.000"</f>
        <v>0.000</v>
      </c>
      <c r="N195" t="str">
        <f>"-0.3249"</f>
        <v>-0.3249</v>
      </c>
      <c r="O195" t="str">
        <f>"NPOC:-0.2665mg/L TN:0.1544mg/L"</f>
        <v>NPOC:-0.2665mg/L TN:0.1544mg/L</v>
      </c>
      <c r="P195">
        <v>1</v>
      </c>
      <c r="Q195" t="str">
        <f>"80"</f>
        <v>80</v>
      </c>
    </row>
    <row r="196" spans="1:17" x14ac:dyDescent="0.2">
      <c r="A196" t="str">
        <f>"Unknown"</f>
        <v>Unknown</v>
      </c>
      <c r="B196" t="str">
        <f>"NPOC/TN"</f>
        <v>NPOC/TN</v>
      </c>
      <c r="C196" t="str">
        <f>"DI"</f>
        <v>DI</v>
      </c>
      <c r="D196" t="str">
        <f>"DI"</f>
        <v>DI</v>
      </c>
      <c r="E196" t="str">
        <f>"C:\TOC3201\Methods\Itamar\acid_sample.met"</f>
        <v>C:\TOC3201\Methods\Itamar\acid_sample.met</v>
      </c>
      <c r="F196" t="str">
        <f>"C:\TOC3201\CalCurves\Itamar\C_cal_100ppm_acid_laurel.2019_08_21_13_17_46.cal"</f>
        <v>C:\TOC3201\CalCurves\Itamar\C_cal_100ppm_acid_laurel.2019_08_21_13_17_46.cal</v>
      </c>
      <c r="G196">
        <v>1</v>
      </c>
      <c r="H196" t="str">
        <f>""</f>
        <v/>
      </c>
      <c r="I196" t="str">
        <f>"8/21/2019 11:55:38 PM"</f>
        <v>8/21/2019 11:55:38 PM</v>
      </c>
      <c r="J196" t="str">
        <f>"1"</f>
        <v>1</v>
      </c>
      <c r="K196" t="str">
        <f>"4"</f>
        <v>4</v>
      </c>
      <c r="L196" t="str">
        <f>"NPOC"</f>
        <v>NPOC</v>
      </c>
      <c r="M196" t="str">
        <f>"0.3046"</f>
        <v>0.3046</v>
      </c>
      <c r="N196" t="str">
        <f>"-0.2626"</f>
        <v>-0.2626</v>
      </c>
      <c r="O196" t="str">
        <f>"NPOC:-0.2665mg/L TN:0.1544mg/L"</f>
        <v>NPOC:-0.2665mg/L TN:0.1544mg/L</v>
      </c>
      <c r="P196">
        <v>0</v>
      </c>
      <c r="Q196" t="str">
        <f>"80"</f>
        <v>80</v>
      </c>
    </row>
    <row r="197" spans="1:17" x14ac:dyDescent="0.2">
      <c r="A197" t="str">
        <f>"Unknown"</f>
        <v>Unknown</v>
      </c>
      <c r="B197" t="str">
        <f>"NPOC/TN"</f>
        <v>NPOC/TN</v>
      </c>
      <c r="C197" t="str">
        <f>"DI"</f>
        <v>DI</v>
      </c>
      <c r="D197" t="str">
        <f>"DI"</f>
        <v>DI</v>
      </c>
      <c r="E197" t="str">
        <f>"C:\TOC3201\Methods\Itamar\acid_sample.met"</f>
        <v>C:\TOC3201\Methods\Itamar\acid_sample.met</v>
      </c>
      <c r="F197" t="str">
        <f>"C:\TOC3201\CalCurves\Itamar\C_cal_100ppm_acid_laurel.2019_08_21_13_17_46.cal"</f>
        <v>C:\TOC3201\CalCurves\Itamar\C_cal_100ppm_acid_laurel.2019_08_21_13_17_46.cal</v>
      </c>
      <c r="G197">
        <v>1</v>
      </c>
      <c r="H197" t="str">
        <f>""</f>
        <v/>
      </c>
      <c r="I197" t="str">
        <f>"8/21/2019 11:57:55 PM"</f>
        <v>8/21/2019 11:57:55 PM</v>
      </c>
      <c r="J197" t="str">
        <f>"1"</f>
        <v>1</v>
      </c>
      <c r="K197" t="str">
        <f>"5"</f>
        <v>5</v>
      </c>
      <c r="L197" t="str">
        <f>"NPOC"</f>
        <v>NPOC</v>
      </c>
      <c r="M197" t="str">
        <f>"0.3296"</f>
        <v>0.3296</v>
      </c>
      <c r="N197" t="str">
        <f>"-0.2575"</f>
        <v>-0.2575</v>
      </c>
      <c r="O197" t="str">
        <f>"NPOC:-0.2665mg/L TN:0.1544mg/L"</f>
        <v>NPOC:-0.2665mg/L TN:0.1544mg/L</v>
      </c>
      <c r="P197">
        <v>0</v>
      </c>
      <c r="Q197" t="str">
        <f>"80"</f>
        <v>80</v>
      </c>
    </row>
    <row r="198" spans="1:17" x14ac:dyDescent="0.2">
      <c r="A198" t="str">
        <f>"Unknown"</f>
        <v>Unknown</v>
      </c>
      <c r="B198" t="str">
        <f>"NPOC/TN"</f>
        <v>NPOC/TN</v>
      </c>
      <c r="C198" t="str">
        <f>"DI"</f>
        <v>DI</v>
      </c>
      <c r="D198" t="str">
        <f>"DI"</f>
        <v>DI</v>
      </c>
      <c r="E198" t="str">
        <f>"C:\TOC3201\Methods\Itamar\acid_sample.met"</f>
        <v>C:\TOC3201\Methods\Itamar\acid_sample.met</v>
      </c>
      <c r="F198" t="str">
        <f>"C:\TOC3201\CalCurves\Itamar\N_cal_25ppm_acid_laurel.2019_08_21_15_23_49.cal"</f>
        <v>C:\TOC3201\CalCurves\Itamar\N_cal_25ppm_acid_laurel.2019_08_21_15_23_49.cal</v>
      </c>
      <c r="G198">
        <v>1</v>
      </c>
      <c r="H198" t="str">
        <f>""</f>
        <v/>
      </c>
      <c r="I198" t="str">
        <f>"8/21/2019 11:49:12 PM"</f>
        <v>8/21/2019 11:49:12 PM</v>
      </c>
      <c r="J198" t="str">
        <f>"1"</f>
        <v>1</v>
      </c>
      <c r="K198" t="str">
        <f>"1"</f>
        <v>1</v>
      </c>
      <c r="L198" t="str">
        <f>"TN"</f>
        <v>TN</v>
      </c>
      <c r="M198" t="str">
        <f>"0.000"</f>
        <v>0.000</v>
      </c>
      <c r="N198" t="str">
        <f>"0.1544"</f>
        <v>0.1544</v>
      </c>
      <c r="O198" t="str">
        <f>"NPOC:-0.2665mg/L TN:0.1544mg/L"</f>
        <v>NPOC:-0.2665mg/L TN:0.1544mg/L</v>
      </c>
      <c r="P198">
        <v>0</v>
      </c>
      <c r="Q198" t="str">
        <f>"80"</f>
        <v>80</v>
      </c>
    </row>
    <row r="199" spans="1:17" x14ac:dyDescent="0.2">
      <c r="A199" t="str">
        <f>"Unknown"</f>
        <v>Unknown</v>
      </c>
      <c r="B199" t="str">
        <f>"NPOC/TN"</f>
        <v>NPOC/TN</v>
      </c>
      <c r="C199" t="str">
        <f>"DI"</f>
        <v>DI</v>
      </c>
      <c r="D199" t="str">
        <f>"DI"</f>
        <v>DI</v>
      </c>
      <c r="E199" t="str">
        <f>"C:\TOC3201\Methods\Itamar\acid_sample.met"</f>
        <v>C:\TOC3201\Methods\Itamar\acid_sample.met</v>
      </c>
      <c r="F199" t="str">
        <f>"C:\TOC3201\CalCurves\Itamar\N_cal_25ppm_acid_laurel.2019_08_21_15_23_49.cal"</f>
        <v>C:\TOC3201\CalCurves\Itamar\N_cal_25ppm_acid_laurel.2019_08_21_15_23_49.cal</v>
      </c>
      <c r="G199">
        <v>1</v>
      </c>
      <c r="H199" t="str">
        <f>""</f>
        <v/>
      </c>
      <c r="I199" t="str">
        <f>"8/21/2019 11:51:18 PM"</f>
        <v>8/21/2019 11:51:18 PM</v>
      </c>
      <c r="J199" t="str">
        <f>"1"</f>
        <v>1</v>
      </c>
      <c r="K199" t="str">
        <f>"2"</f>
        <v>2</v>
      </c>
      <c r="L199" t="str">
        <f>"TN"</f>
        <v>TN</v>
      </c>
      <c r="M199" t="str">
        <f>"0.000"</f>
        <v>0.000</v>
      </c>
      <c r="N199" t="str">
        <f>"0.1544"</f>
        <v>0.1544</v>
      </c>
      <c r="O199" t="str">
        <f>"NPOC:-0.2665mg/L TN:0.1544mg/L"</f>
        <v>NPOC:-0.2665mg/L TN:0.1544mg/L</v>
      </c>
      <c r="P199">
        <v>0</v>
      </c>
      <c r="Q199" t="str">
        <f>"80"</f>
        <v>80</v>
      </c>
    </row>
    <row r="200" spans="1:17" x14ac:dyDescent="0.2">
      <c r="A200" t="str">
        <f>"Unknown"</f>
        <v>Unknown</v>
      </c>
      <c r="B200" t="str">
        <f>"NPOC/TN"</f>
        <v>NPOC/TN</v>
      </c>
      <c r="C200" t="str">
        <f>"DI"</f>
        <v>DI</v>
      </c>
      <c r="D200" t="str">
        <f>"DI"</f>
        <v>DI</v>
      </c>
      <c r="E200" t="str">
        <f>"C:\TOC3201\Methods\Itamar\acid_sample.met"</f>
        <v>C:\TOC3201\Methods\Itamar\acid_sample.met</v>
      </c>
      <c r="F200" t="str">
        <f>"C:\TOC3201\CalCurves\Itamar\N_cal_25ppm_acid_laurel.2019_08_21_15_23_49.cal"</f>
        <v>C:\TOC3201\CalCurves\Itamar\N_cal_25ppm_acid_laurel.2019_08_21_15_23_49.cal</v>
      </c>
      <c r="G200">
        <v>1</v>
      </c>
      <c r="H200" t="str">
        <f>""</f>
        <v/>
      </c>
      <c r="I200" t="str">
        <f>"8/21/2019 11:53:22 PM"</f>
        <v>8/21/2019 11:53:22 PM</v>
      </c>
      <c r="J200" t="str">
        <f>"1"</f>
        <v>1</v>
      </c>
      <c r="K200" t="str">
        <f>"3"</f>
        <v>3</v>
      </c>
      <c r="L200" t="str">
        <f>"TN"</f>
        <v>TN</v>
      </c>
      <c r="M200" t="str">
        <f>"0.000"</f>
        <v>0.000</v>
      </c>
      <c r="N200" t="str">
        <f>"0.1544"</f>
        <v>0.1544</v>
      </c>
      <c r="O200" t="str">
        <f>"NPOC:-0.2665mg/L TN:0.1544mg/L"</f>
        <v>NPOC:-0.2665mg/L TN:0.1544mg/L</v>
      </c>
      <c r="P200">
        <v>0</v>
      </c>
      <c r="Q200" t="str">
        <f>"80"</f>
        <v>80</v>
      </c>
    </row>
    <row r="201" spans="1:17" x14ac:dyDescent="0.2">
      <c r="A201" t="str">
        <f>"Unknown"</f>
        <v>Unknown</v>
      </c>
      <c r="B201" t="str">
        <f>"NPOC/TN"</f>
        <v>NPOC/TN</v>
      </c>
      <c r="C201" t="str">
        <f>"25ppm"</f>
        <v>25ppm</v>
      </c>
      <c r="D201" t="str">
        <f>"25ppm"</f>
        <v>25ppm</v>
      </c>
      <c r="E201" t="str">
        <f>"C:\TOC3201\Methods\Itamar\acid_sample.met"</f>
        <v>C:\TOC3201\Methods\Itamar\acid_sample.met</v>
      </c>
      <c r="F201" t="str">
        <f>"C:\TOC3201\CalCurves\Itamar\C_cal_100ppm_acid_laurel.2019_08_21_13_17_46.cal"</f>
        <v>C:\TOC3201\CalCurves\Itamar\C_cal_100ppm_acid_laurel.2019_08_21_13_17_46.cal</v>
      </c>
      <c r="G201">
        <v>1</v>
      </c>
      <c r="H201" t="str">
        <f>""</f>
        <v/>
      </c>
      <c r="I201" t="str">
        <f>"8/22/2019 12:10:05 AM"</f>
        <v>8/22/2019 12:10:05 AM</v>
      </c>
      <c r="J201" t="str">
        <f>"1"</f>
        <v>1</v>
      </c>
      <c r="K201" t="str">
        <f>"1"</f>
        <v>1</v>
      </c>
      <c r="L201" t="str">
        <f>"NPOC"</f>
        <v>NPOC</v>
      </c>
      <c r="M201" t="str">
        <f>"28.52"</f>
        <v>28.52</v>
      </c>
      <c r="N201" t="str">
        <f>"22.03"</f>
        <v>22.03</v>
      </c>
      <c r="O201" t="str">
        <f>"NPOC:22.24mg/L TN:25.07mg/L"</f>
        <v>NPOC:22.24mg/L TN:25.07mg/L</v>
      </c>
      <c r="P201">
        <v>0</v>
      </c>
      <c r="Q201" t="str">
        <f>"80"</f>
        <v>80</v>
      </c>
    </row>
    <row r="202" spans="1:17" x14ac:dyDescent="0.2">
      <c r="A202" t="str">
        <f>"Unknown"</f>
        <v>Unknown</v>
      </c>
      <c r="B202" t="str">
        <f>"NPOC/TN"</f>
        <v>NPOC/TN</v>
      </c>
      <c r="C202" t="str">
        <f>"25ppm"</f>
        <v>25ppm</v>
      </c>
      <c r="D202" t="str">
        <f>"25ppm"</f>
        <v>25ppm</v>
      </c>
      <c r="E202" t="str">
        <f>"C:\TOC3201\Methods\Itamar\acid_sample.met"</f>
        <v>C:\TOC3201\Methods\Itamar\acid_sample.met</v>
      </c>
      <c r="F202" t="str">
        <f>"C:\TOC3201\CalCurves\Itamar\C_cal_100ppm_acid_laurel.2019_08_21_13_17_46.cal"</f>
        <v>C:\TOC3201\CalCurves\Itamar\C_cal_100ppm_acid_laurel.2019_08_21_13_17_46.cal</v>
      </c>
      <c r="G202">
        <v>1</v>
      </c>
      <c r="H202" t="str">
        <f>""</f>
        <v/>
      </c>
      <c r="I202" t="str">
        <f>"8/22/2019 12:13:47 AM"</f>
        <v>8/22/2019 12:13:47 AM</v>
      </c>
      <c r="J202" t="str">
        <f>"1"</f>
        <v>1</v>
      </c>
      <c r="K202" t="str">
        <f>"2"</f>
        <v>2</v>
      </c>
      <c r="L202" t="str">
        <f>"NPOC"</f>
        <v>NPOC</v>
      </c>
      <c r="M202" t="str">
        <f>"28.58"</f>
        <v>28.58</v>
      </c>
      <c r="N202" t="str">
        <f>"22.07"</f>
        <v>22.07</v>
      </c>
      <c r="O202" t="str">
        <f>"NPOC:22.24mg/L TN:25.07mg/L"</f>
        <v>NPOC:22.24mg/L TN:25.07mg/L</v>
      </c>
      <c r="P202">
        <v>0</v>
      </c>
      <c r="Q202" t="str">
        <f>"80"</f>
        <v>80</v>
      </c>
    </row>
    <row r="203" spans="1:17" x14ac:dyDescent="0.2">
      <c r="A203" t="str">
        <f>"Unknown"</f>
        <v>Unknown</v>
      </c>
      <c r="B203" t="str">
        <f>"NPOC/TN"</f>
        <v>NPOC/TN</v>
      </c>
      <c r="C203" t="str">
        <f>"25ppm"</f>
        <v>25ppm</v>
      </c>
      <c r="D203" t="str">
        <f>"25ppm"</f>
        <v>25ppm</v>
      </c>
      <c r="E203" t="str">
        <f>"C:\TOC3201\Methods\Itamar\acid_sample.met"</f>
        <v>C:\TOC3201\Methods\Itamar\acid_sample.met</v>
      </c>
      <c r="F203" t="str">
        <f>"C:\TOC3201\CalCurves\Itamar\C_cal_100ppm_acid_laurel.2019_08_21_13_17_46.cal"</f>
        <v>C:\TOC3201\CalCurves\Itamar\C_cal_100ppm_acid_laurel.2019_08_21_13_17_46.cal</v>
      </c>
      <c r="G203">
        <v>1</v>
      </c>
      <c r="H203" t="str">
        <f>""</f>
        <v/>
      </c>
      <c r="I203" t="str">
        <f>"8/22/2019 12:17:22 AM"</f>
        <v>8/22/2019 12:17:22 AM</v>
      </c>
      <c r="J203" t="str">
        <f>"1"</f>
        <v>1</v>
      </c>
      <c r="K203" t="str">
        <f>"3"</f>
        <v>3</v>
      </c>
      <c r="L203" t="str">
        <f>"NPOC"</f>
        <v>NPOC</v>
      </c>
      <c r="M203" t="str">
        <f>"29.24"</f>
        <v>29.24</v>
      </c>
      <c r="N203" t="str">
        <f>"22.61"</f>
        <v>22.61</v>
      </c>
      <c r="O203" t="str">
        <f>"NPOC:22.24mg/L TN:25.07mg/L"</f>
        <v>NPOC:22.24mg/L TN:25.07mg/L</v>
      </c>
      <c r="P203">
        <v>0</v>
      </c>
      <c r="Q203" t="str">
        <f>"80"</f>
        <v>80</v>
      </c>
    </row>
    <row r="204" spans="1:17" x14ac:dyDescent="0.2">
      <c r="A204" t="str">
        <f>"Unknown"</f>
        <v>Unknown</v>
      </c>
      <c r="B204" t="str">
        <f>"NPOC/TN"</f>
        <v>NPOC/TN</v>
      </c>
      <c r="C204" t="str">
        <f>"25ppm"</f>
        <v>25ppm</v>
      </c>
      <c r="D204" t="str">
        <f>"25ppm"</f>
        <v>25ppm</v>
      </c>
      <c r="E204" t="str">
        <f>"C:\TOC3201\Methods\Itamar\acid_sample.met"</f>
        <v>C:\TOC3201\Methods\Itamar\acid_sample.met</v>
      </c>
      <c r="F204" t="str">
        <f>"C:\TOC3201\CalCurves\Itamar\N_cal_25ppm_acid_laurel.2019_08_21_15_23_49.cal"</f>
        <v>C:\TOC3201\CalCurves\Itamar\N_cal_25ppm_acid_laurel.2019_08_21_15_23_49.cal</v>
      </c>
      <c r="G204">
        <v>1</v>
      </c>
      <c r="H204" t="str">
        <f>""</f>
        <v/>
      </c>
      <c r="I204" t="str">
        <f>"8/22/2019 12:10:05 AM"</f>
        <v>8/22/2019 12:10:05 AM</v>
      </c>
      <c r="J204" t="str">
        <f>"1"</f>
        <v>1</v>
      </c>
      <c r="K204" t="str">
        <f>"1"</f>
        <v>1</v>
      </c>
      <c r="L204" t="str">
        <f>"TN"</f>
        <v>TN</v>
      </c>
      <c r="M204" t="str">
        <f>"23.48"</f>
        <v>23.48</v>
      </c>
      <c r="N204" t="str">
        <f>"26.38"</f>
        <v>26.38</v>
      </c>
      <c r="O204" t="str">
        <f>"NPOC:22.24mg/L TN:25.07mg/L"</f>
        <v>NPOC:22.24mg/L TN:25.07mg/L</v>
      </c>
      <c r="P204">
        <v>1</v>
      </c>
      <c r="Q204" t="str">
        <f>"80"</f>
        <v>80</v>
      </c>
    </row>
    <row r="205" spans="1:17" x14ac:dyDescent="0.2">
      <c r="A205" t="str">
        <f>"Unknown"</f>
        <v>Unknown</v>
      </c>
      <c r="B205" t="str">
        <f>"NPOC/TN"</f>
        <v>NPOC/TN</v>
      </c>
      <c r="C205" t="str">
        <f>"25ppm"</f>
        <v>25ppm</v>
      </c>
      <c r="D205" t="str">
        <f>"25ppm"</f>
        <v>25ppm</v>
      </c>
      <c r="E205" t="str">
        <f>"C:\TOC3201\Methods\Itamar\acid_sample.met"</f>
        <v>C:\TOC3201\Methods\Itamar\acid_sample.met</v>
      </c>
      <c r="F205" t="str">
        <f>"C:\TOC3201\CalCurves\Itamar\N_cal_25ppm_acid_laurel.2019_08_21_15_23_49.cal"</f>
        <v>C:\TOC3201\CalCurves\Itamar\N_cal_25ppm_acid_laurel.2019_08_21_15_23_49.cal</v>
      </c>
      <c r="G205">
        <v>1</v>
      </c>
      <c r="H205" t="str">
        <f>""</f>
        <v/>
      </c>
      <c r="I205" t="str">
        <f>"8/22/2019 12:13:47 AM"</f>
        <v>8/22/2019 12:13:47 AM</v>
      </c>
      <c r="J205" t="str">
        <f>"1"</f>
        <v>1</v>
      </c>
      <c r="K205" t="str">
        <f>"2"</f>
        <v>2</v>
      </c>
      <c r="L205" t="str">
        <f>"TN"</f>
        <v>TN</v>
      </c>
      <c r="M205" t="str">
        <f>"22.23"</f>
        <v>22.23</v>
      </c>
      <c r="N205" t="str">
        <f>"25.01"</f>
        <v>25.01</v>
      </c>
      <c r="O205" t="str">
        <f>"NPOC:22.24mg/L TN:25.07mg/L"</f>
        <v>NPOC:22.24mg/L TN:25.07mg/L</v>
      </c>
      <c r="P205">
        <v>0</v>
      </c>
      <c r="Q205" t="str">
        <f>"80"</f>
        <v>80</v>
      </c>
    </row>
    <row r="206" spans="1:17" x14ac:dyDescent="0.2">
      <c r="A206" t="str">
        <f>"Unknown"</f>
        <v>Unknown</v>
      </c>
      <c r="B206" t="str">
        <f>"NPOC/TN"</f>
        <v>NPOC/TN</v>
      </c>
      <c r="C206" t="str">
        <f>"25ppm"</f>
        <v>25ppm</v>
      </c>
      <c r="D206" t="str">
        <f>"25ppm"</f>
        <v>25ppm</v>
      </c>
      <c r="E206" t="str">
        <f>"C:\TOC3201\Methods\Itamar\acid_sample.met"</f>
        <v>C:\TOC3201\Methods\Itamar\acid_sample.met</v>
      </c>
      <c r="F206" t="str">
        <f>"C:\TOC3201\CalCurves\Itamar\N_cal_25ppm_acid_laurel.2019_08_21_15_23_49.cal"</f>
        <v>C:\TOC3201\CalCurves\Itamar\N_cal_25ppm_acid_laurel.2019_08_21_15_23_49.cal</v>
      </c>
      <c r="G206">
        <v>1</v>
      </c>
      <c r="H206" t="str">
        <f>""</f>
        <v/>
      </c>
      <c r="I206" t="str">
        <f>"8/22/2019 12:17:22 AM"</f>
        <v>8/22/2019 12:17:22 AM</v>
      </c>
      <c r="J206" t="str">
        <f>"1"</f>
        <v>1</v>
      </c>
      <c r="K206" t="str">
        <f>"3"</f>
        <v>3</v>
      </c>
      <c r="L206" t="str">
        <f>"TN"</f>
        <v>TN</v>
      </c>
      <c r="M206" t="str">
        <f>"21.99"</f>
        <v>21.99</v>
      </c>
      <c r="N206" t="str">
        <f>"24.74"</f>
        <v>24.74</v>
      </c>
      <c r="O206" t="str">
        <f>"NPOC:22.24mg/L TN:25.07mg/L"</f>
        <v>NPOC:22.24mg/L TN:25.07mg/L</v>
      </c>
      <c r="P206">
        <v>0</v>
      </c>
      <c r="Q206" t="str">
        <f>"80"</f>
        <v>80</v>
      </c>
    </row>
    <row r="207" spans="1:17" x14ac:dyDescent="0.2">
      <c r="A207" t="str">
        <f>"Unknown"</f>
        <v>Unknown</v>
      </c>
      <c r="B207" t="str">
        <f>"NPOC/TN"</f>
        <v>NPOC/TN</v>
      </c>
      <c r="C207" t="str">
        <f>"25ppm"</f>
        <v>25ppm</v>
      </c>
      <c r="D207" t="str">
        <f>"25ppm"</f>
        <v>25ppm</v>
      </c>
      <c r="E207" t="str">
        <f>"C:\TOC3201\Methods\Itamar\acid_sample.met"</f>
        <v>C:\TOC3201\Methods\Itamar\acid_sample.met</v>
      </c>
      <c r="F207" t="str">
        <f>"C:\TOC3201\CalCurves\Itamar\N_cal_25ppm_acid_laurel.2019_08_21_15_23_49.cal"</f>
        <v>C:\TOC3201\CalCurves\Itamar\N_cal_25ppm_acid_laurel.2019_08_21_15_23_49.cal</v>
      </c>
      <c r="G207">
        <v>1</v>
      </c>
      <c r="H207" t="str">
        <f>""</f>
        <v/>
      </c>
      <c r="I207" t="str">
        <f>"8/22/2019 12:21:10 AM"</f>
        <v>8/22/2019 12:21:10 AM</v>
      </c>
      <c r="J207" t="str">
        <f>"1"</f>
        <v>1</v>
      </c>
      <c r="K207" t="str">
        <f>"4"</f>
        <v>4</v>
      </c>
      <c r="L207" t="str">
        <f>"TN"</f>
        <v>TN</v>
      </c>
      <c r="M207" t="str">
        <f>"23.19"</f>
        <v>23.19</v>
      </c>
      <c r="N207" t="str">
        <f>"26.06"</f>
        <v>26.06</v>
      </c>
      <c r="O207" t="str">
        <f>"NPOC:22.24mg/L TN:25.07mg/L"</f>
        <v>NPOC:22.24mg/L TN:25.07mg/L</v>
      </c>
      <c r="P207">
        <v>1</v>
      </c>
      <c r="Q207" t="str">
        <f>"80"</f>
        <v>80</v>
      </c>
    </row>
    <row r="208" spans="1:17" x14ac:dyDescent="0.2">
      <c r="A208" t="str">
        <f>"Unknown"</f>
        <v>Unknown</v>
      </c>
      <c r="B208" t="str">
        <f>"NPOC/TN"</f>
        <v>NPOC/TN</v>
      </c>
      <c r="C208" t="str">
        <f>"25ppm"</f>
        <v>25ppm</v>
      </c>
      <c r="D208" t="str">
        <f>"25ppm"</f>
        <v>25ppm</v>
      </c>
      <c r="E208" t="str">
        <f>"C:\TOC3201\Methods\Itamar\acid_sample.met"</f>
        <v>C:\TOC3201\Methods\Itamar\acid_sample.met</v>
      </c>
      <c r="F208" t="str">
        <f>"C:\TOC3201\CalCurves\Itamar\N_cal_25ppm_acid_laurel.2019_08_21_15_23_49.cal"</f>
        <v>C:\TOC3201\CalCurves\Itamar\N_cal_25ppm_acid_laurel.2019_08_21_15_23_49.cal</v>
      </c>
      <c r="G208">
        <v>1</v>
      </c>
      <c r="H208" t="str">
        <f>""</f>
        <v/>
      </c>
      <c r="I208" t="str">
        <f>"8/22/2019 12:24:58 AM"</f>
        <v>8/22/2019 12:24:58 AM</v>
      </c>
      <c r="J208" t="str">
        <f>"1"</f>
        <v>1</v>
      </c>
      <c r="K208" t="str">
        <f>"5"</f>
        <v>5</v>
      </c>
      <c r="L208" t="str">
        <f>"TN"</f>
        <v>TN</v>
      </c>
      <c r="M208" t="str">
        <f>"22.64"</f>
        <v>22.64</v>
      </c>
      <c r="N208" t="str">
        <f>"25.46"</f>
        <v>25.46</v>
      </c>
      <c r="O208" t="str">
        <f>"NPOC:22.24mg/L TN:25.07mg/L"</f>
        <v>NPOC:22.24mg/L TN:25.07mg/L</v>
      </c>
      <c r="P208">
        <v>0</v>
      </c>
      <c r="Q208" t="str">
        <f>"80"</f>
        <v>80</v>
      </c>
    </row>
    <row r="209" spans="1:17" x14ac:dyDescent="0.2">
      <c r="A209" t="str">
        <f>"Unknown"</f>
        <v>Unknown</v>
      </c>
      <c r="B209" t="str">
        <f>"NPOC/TN"</f>
        <v>NPOC/TN</v>
      </c>
      <c r="C209" t="str">
        <f>"1134"</f>
        <v>1134</v>
      </c>
      <c r="D209" t="str">
        <f>"DI"</f>
        <v>DI</v>
      </c>
      <c r="E209" t="str">
        <f>"C:\TOC3201\Methods\Itamar\acid_sample.met"</f>
        <v>C:\TOC3201\Methods\Itamar\acid_sample.met</v>
      </c>
      <c r="F209" t="str">
        <f>"C:\TOC3201\CalCurves\Itamar\C_cal_100ppm_acid_laurel.2019_08_21_13_17_46.cal"</f>
        <v>C:\TOC3201\CalCurves\Itamar\C_cal_100ppm_acid_laurel.2019_08_21_13_17_46.cal</v>
      </c>
      <c r="G209">
        <v>1</v>
      </c>
      <c r="H209" t="str">
        <f>""</f>
        <v/>
      </c>
      <c r="I209" t="str">
        <f>"8/22/2019 12:34:27 AM"</f>
        <v>8/22/2019 12:34:27 AM</v>
      </c>
      <c r="J209" t="str">
        <f>"1"</f>
        <v>1</v>
      </c>
      <c r="K209" t="str">
        <f>"1"</f>
        <v>1</v>
      </c>
      <c r="L209" t="str">
        <f>"NPOC"</f>
        <v>NPOC</v>
      </c>
      <c r="M209" t="str">
        <f>"9.188"</f>
        <v>9.188</v>
      </c>
      <c r="N209" t="str">
        <f>"1.554"</f>
        <v>1.554</v>
      </c>
      <c r="O209" t="str">
        <f>"NPOC:1.576mg/L TN:0.1544mg/L"</f>
        <v>NPOC:1.576mg/L TN:0.1544mg/L</v>
      </c>
      <c r="P209">
        <v>0</v>
      </c>
      <c r="Q209" t="str">
        <f>"80"</f>
        <v>80</v>
      </c>
    </row>
    <row r="210" spans="1:17" x14ac:dyDescent="0.2">
      <c r="A210" t="str">
        <f>"Unknown"</f>
        <v>Unknown</v>
      </c>
      <c r="B210" t="str">
        <f>"NPOC/TN"</f>
        <v>NPOC/TN</v>
      </c>
      <c r="C210" t="str">
        <f>"1134"</f>
        <v>1134</v>
      </c>
      <c r="D210" t="str">
        <f>"DI"</f>
        <v>DI</v>
      </c>
      <c r="E210" t="str">
        <f>"C:\TOC3201\Methods\Itamar\acid_sample.met"</f>
        <v>C:\TOC3201\Methods\Itamar\acid_sample.met</v>
      </c>
      <c r="F210" t="str">
        <f>"C:\TOC3201\CalCurves\Itamar\C_cal_100ppm_acid_laurel.2019_08_21_13_17_46.cal"</f>
        <v>C:\TOC3201\CalCurves\Itamar\C_cal_100ppm_acid_laurel.2019_08_21_13_17_46.cal</v>
      </c>
      <c r="G210">
        <v>1</v>
      </c>
      <c r="H210" t="str">
        <f>""</f>
        <v/>
      </c>
      <c r="I210" t="str">
        <f>"8/22/2019 12:37:24 AM"</f>
        <v>8/22/2019 12:37:24 AM</v>
      </c>
      <c r="J210" t="str">
        <f>"1"</f>
        <v>1</v>
      </c>
      <c r="K210" t="str">
        <f>"2"</f>
        <v>2</v>
      </c>
      <c r="L210" t="str">
        <f>"NPOC"</f>
        <v>NPOC</v>
      </c>
      <c r="M210" t="str">
        <f>"9.329"</f>
        <v>9.329</v>
      </c>
      <c r="N210" t="str">
        <f>"1.582"</f>
        <v>1.582</v>
      </c>
      <c r="O210" t="str">
        <f>"NPOC:1.576mg/L TN:0.1544mg/L"</f>
        <v>NPOC:1.576mg/L TN:0.1544mg/L</v>
      </c>
      <c r="P210">
        <v>0</v>
      </c>
      <c r="Q210" t="str">
        <f>"80"</f>
        <v>80</v>
      </c>
    </row>
    <row r="211" spans="1:17" x14ac:dyDescent="0.2">
      <c r="A211" t="str">
        <f>"Unknown"</f>
        <v>Unknown</v>
      </c>
      <c r="B211" t="str">
        <f>"NPOC/TN"</f>
        <v>NPOC/TN</v>
      </c>
      <c r="C211" t="str">
        <f>"1134"</f>
        <v>1134</v>
      </c>
      <c r="D211" t="str">
        <f>"DI"</f>
        <v>DI</v>
      </c>
      <c r="E211" t="str">
        <f>"C:\TOC3201\Methods\Itamar\acid_sample.met"</f>
        <v>C:\TOC3201\Methods\Itamar\acid_sample.met</v>
      </c>
      <c r="F211" t="str">
        <f>"C:\TOC3201\CalCurves\Itamar\C_cal_100ppm_acid_laurel.2019_08_21_13_17_46.cal"</f>
        <v>C:\TOC3201\CalCurves\Itamar\C_cal_100ppm_acid_laurel.2019_08_21_13_17_46.cal</v>
      </c>
      <c r="G211">
        <v>1</v>
      </c>
      <c r="H211" t="str">
        <f>""</f>
        <v/>
      </c>
      <c r="I211" t="str">
        <f>"8/22/2019 12:40:19 AM"</f>
        <v>8/22/2019 12:40:19 AM</v>
      </c>
      <c r="J211" t="str">
        <f>"1"</f>
        <v>1</v>
      </c>
      <c r="K211" t="str">
        <f>"3"</f>
        <v>3</v>
      </c>
      <c r="L211" t="str">
        <f>"NPOC"</f>
        <v>NPOC</v>
      </c>
      <c r="M211" t="str">
        <f>"9.994"</f>
        <v>9.994</v>
      </c>
      <c r="N211" t="str">
        <f>"1.718"</f>
        <v>1.718</v>
      </c>
      <c r="O211" t="str">
        <f>"NPOC:1.576mg/L TN:0.1544mg/L"</f>
        <v>NPOC:1.576mg/L TN:0.1544mg/L</v>
      </c>
      <c r="P211">
        <v>1</v>
      </c>
      <c r="Q211" t="str">
        <f>"80"</f>
        <v>80</v>
      </c>
    </row>
    <row r="212" spans="1:17" x14ac:dyDescent="0.2">
      <c r="A212" t="str">
        <f>"Unknown"</f>
        <v>Unknown</v>
      </c>
      <c r="B212" t="str">
        <f>"NPOC/TN"</f>
        <v>NPOC/TN</v>
      </c>
      <c r="C212" t="str">
        <f>"1134"</f>
        <v>1134</v>
      </c>
      <c r="D212" t="str">
        <f>"DI"</f>
        <v>DI</v>
      </c>
      <c r="E212" t="str">
        <f>"C:\TOC3201\Methods\Itamar\acid_sample.met"</f>
        <v>C:\TOC3201\Methods\Itamar\acid_sample.met</v>
      </c>
      <c r="F212" t="str">
        <f>"C:\TOC3201\CalCurves\Itamar\C_cal_100ppm_acid_laurel.2019_08_21_13_17_46.cal"</f>
        <v>C:\TOC3201\CalCurves\Itamar\C_cal_100ppm_acid_laurel.2019_08_21_13_17_46.cal</v>
      </c>
      <c r="G212">
        <v>1</v>
      </c>
      <c r="H212" t="str">
        <f>""</f>
        <v/>
      </c>
      <c r="I212" t="str">
        <f>"8/22/2019 12:43:18 AM"</f>
        <v>8/22/2019 12:43:18 AM</v>
      </c>
      <c r="J212" t="str">
        <f>"1"</f>
        <v>1</v>
      </c>
      <c r="K212" t="str">
        <f>"4"</f>
        <v>4</v>
      </c>
      <c r="L212" t="str">
        <f>"NPOC"</f>
        <v>NPOC</v>
      </c>
      <c r="M212" t="str">
        <f>"10.08"</f>
        <v>10.08</v>
      </c>
      <c r="N212" t="str">
        <f>"1.736"</f>
        <v>1.736</v>
      </c>
      <c r="O212" t="str">
        <f>"NPOC:1.576mg/L TN:0.1544mg/L"</f>
        <v>NPOC:1.576mg/L TN:0.1544mg/L</v>
      </c>
      <c r="P212">
        <v>1</v>
      </c>
      <c r="Q212" t="str">
        <f>"80"</f>
        <v>80</v>
      </c>
    </row>
    <row r="213" spans="1:17" x14ac:dyDescent="0.2">
      <c r="A213" t="str">
        <f>"Unknown"</f>
        <v>Unknown</v>
      </c>
      <c r="B213" t="str">
        <f>"NPOC/TN"</f>
        <v>NPOC/TN</v>
      </c>
      <c r="C213" t="str">
        <f>"1134"</f>
        <v>1134</v>
      </c>
      <c r="D213" t="str">
        <f>"DI"</f>
        <v>DI</v>
      </c>
      <c r="E213" t="str">
        <f>"C:\TOC3201\Methods\Itamar\acid_sample.met"</f>
        <v>C:\TOC3201\Methods\Itamar\acid_sample.met</v>
      </c>
      <c r="F213" t="str">
        <f>"C:\TOC3201\CalCurves\Itamar\C_cal_100ppm_acid_laurel.2019_08_21_13_17_46.cal"</f>
        <v>C:\TOC3201\CalCurves\Itamar\C_cal_100ppm_acid_laurel.2019_08_21_13_17_46.cal</v>
      </c>
      <c r="G213">
        <v>1</v>
      </c>
      <c r="H213" t="str">
        <f>""</f>
        <v/>
      </c>
      <c r="I213" t="str">
        <f>"8/22/2019 12:46:11 AM"</f>
        <v>8/22/2019 12:46:11 AM</v>
      </c>
      <c r="J213" t="str">
        <f>"1"</f>
        <v>1</v>
      </c>
      <c r="K213" t="str">
        <f>"5"</f>
        <v>5</v>
      </c>
      <c r="L213" t="str">
        <f>"NPOC"</f>
        <v>NPOC</v>
      </c>
      <c r="M213" t="str">
        <f>"9.372"</f>
        <v>9.372</v>
      </c>
      <c r="N213" t="str">
        <f>"1.591"</f>
        <v>1.591</v>
      </c>
      <c r="O213" t="str">
        <f>"NPOC:1.576mg/L TN:0.1544mg/L"</f>
        <v>NPOC:1.576mg/L TN:0.1544mg/L</v>
      </c>
      <c r="P213">
        <v>0</v>
      </c>
      <c r="Q213" t="str">
        <f>"80"</f>
        <v>80</v>
      </c>
    </row>
    <row r="214" spans="1:17" x14ac:dyDescent="0.2">
      <c r="A214" t="str">
        <f>"Unknown"</f>
        <v>Unknown</v>
      </c>
      <c r="B214" t="str">
        <f>"NPOC/TN"</f>
        <v>NPOC/TN</v>
      </c>
      <c r="C214" t="str">
        <f>"1134"</f>
        <v>1134</v>
      </c>
      <c r="D214" t="str">
        <f>"DI"</f>
        <v>DI</v>
      </c>
      <c r="E214" t="str">
        <f>"C:\TOC3201\Methods\Itamar\acid_sample.met"</f>
        <v>C:\TOC3201\Methods\Itamar\acid_sample.met</v>
      </c>
      <c r="F214" t="str">
        <f>"C:\TOC3201\CalCurves\Itamar\N_cal_25ppm_acid_laurel.2019_08_21_15_23_49.cal"</f>
        <v>C:\TOC3201\CalCurves\Itamar\N_cal_25ppm_acid_laurel.2019_08_21_15_23_49.cal</v>
      </c>
      <c r="G214">
        <v>1</v>
      </c>
      <c r="H214" t="str">
        <f>""</f>
        <v/>
      </c>
      <c r="I214" t="str">
        <f>"8/22/2019 12:34:27 AM"</f>
        <v>8/22/2019 12:34:27 AM</v>
      </c>
      <c r="J214" t="str">
        <f>"1"</f>
        <v>1</v>
      </c>
      <c r="K214" t="str">
        <f>"1"</f>
        <v>1</v>
      </c>
      <c r="L214" t="str">
        <f>"TN"</f>
        <v>TN</v>
      </c>
      <c r="M214" t="str">
        <f>"0.000"</f>
        <v>0.000</v>
      </c>
      <c r="N214" t="str">
        <f>"0.1544"</f>
        <v>0.1544</v>
      </c>
      <c r="O214" t="str">
        <f>"NPOC:1.576mg/L TN:0.1544mg/L"</f>
        <v>NPOC:1.576mg/L TN:0.1544mg/L</v>
      </c>
      <c r="P214">
        <v>0</v>
      </c>
      <c r="Q214" t="str">
        <f>"80"</f>
        <v>80</v>
      </c>
    </row>
    <row r="215" spans="1:17" x14ac:dyDescent="0.2">
      <c r="A215" t="str">
        <f>"Unknown"</f>
        <v>Unknown</v>
      </c>
      <c r="B215" t="str">
        <f>"NPOC/TN"</f>
        <v>NPOC/TN</v>
      </c>
      <c r="C215" t="str">
        <f>"1134"</f>
        <v>1134</v>
      </c>
      <c r="D215" t="str">
        <f>"DI"</f>
        <v>DI</v>
      </c>
      <c r="E215" t="str">
        <f>"C:\TOC3201\Methods\Itamar\acid_sample.met"</f>
        <v>C:\TOC3201\Methods\Itamar\acid_sample.met</v>
      </c>
      <c r="F215" t="str">
        <f>"C:\TOC3201\CalCurves\Itamar\N_cal_25ppm_acid_laurel.2019_08_21_15_23_49.cal"</f>
        <v>C:\TOC3201\CalCurves\Itamar\N_cal_25ppm_acid_laurel.2019_08_21_15_23_49.cal</v>
      </c>
      <c r="G215">
        <v>1</v>
      </c>
      <c r="H215" t="str">
        <f>""</f>
        <v/>
      </c>
      <c r="I215" t="str">
        <f>"8/22/2019 12:37:24 AM"</f>
        <v>8/22/2019 12:37:24 AM</v>
      </c>
      <c r="J215" t="str">
        <f>"1"</f>
        <v>1</v>
      </c>
      <c r="K215" t="str">
        <f>"2"</f>
        <v>2</v>
      </c>
      <c r="L215" t="str">
        <f>"TN"</f>
        <v>TN</v>
      </c>
      <c r="M215" t="str">
        <f>"0.000"</f>
        <v>0.000</v>
      </c>
      <c r="N215" t="str">
        <f>"0.1544"</f>
        <v>0.1544</v>
      </c>
      <c r="O215" t="str">
        <f>"NPOC:1.576mg/L TN:0.1544mg/L"</f>
        <v>NPOC:1.576mg/L TN:0.1544mg/L</v>
      </c>
      <c r="P215">
        <v>0</v>
      </c>
      <c r="Q215" t="str">
        <f>"80"</f>
        <v>80</v>
      </c>
    </row>
    <row r="216" spans="1:17" x14ac:dyDescent="0.2">
      <c r="A216" t="str">
        <f>"Unknown"</f>
        <v>Unknown</v>
      </c>
      <c r="B216" t="str">
        <f>"NPOC/TN"</f>
        <v>NPOC/TN</v>
      </c>
      <c r="C216" t="str">
        <f>"1134"</f>
        <v>1134</v>
      </c>
      <c r="D216" t="str">
        <f>"DI"</f>
        <v>DI</v>
      </c>
      <c r="E216" t="str">
        <f>"C:\TOC3201\Methods\Itamar\acid_sample.met"</f>
        <v>C:\TOC3201\Methods\Itamar\acid_sample.met</v>
      </c>
      <c r="F216" t="str">
        <f>"C:\TOC3201\CalCurves\Itamar\N_cal_25ppm_acid_laurel.2019_08_21_15_23_49.cal"</f>
        <v>C:\TOC3201\CalCurves\Itamar\N_cal_25ppm_acid_laurel.2019_08_21_15_23_49.cal</v>
      </c>
      <c r="G216">
        <v>1</v>
      </c>
      <c r="H216" t="str">
        <f>""</f>
        <v/>
      </c>
      <c r="I216" t="str">
        <f>"8/22/2019 12:40:19 AM"</f>
        <v>8/22/2019 12:40:19 AM</v>
      </c>
      <c r="J216" t="str">
        <f>"1"</f>
        <v>1</v>
      </c>
      <c r="K216" t="str">
        <f>"3"</f>
        <v>3</v>
      </c>
      <c r="L216" t="str">
        <f>"TN"</f>
        <v>TN</v>
      </c>
      <c r="M216" t="str">
        <f>"0.000"</f>
        <v>0.000</v>
      </c>
      <c r="N216" t="str">
        <f>"0.1544"</f>
        <v>0.1544</v>
      </c>
      <c r="O216" t="str">
        <f>"NPOC:1.576mg/L TN:0.1544mg/L"</f>
        <v>NPOC:1.576mg/L TN:0.1544mg/L</v>
      </c>
      <c r="P216">
        <v>0</v>
      </c>
      <c r="Q216" t="str">
        <f>"80"</f>
        <v>80</v>
      </c>
    </row>
    <row r="217" spans="1:17" x14ac:dyDescent="0.2">
      <c r="A217" t="str">
        <f>"Unknown"</f>
        <v>Unknown</v>
      </c>
      <c r="B217" t="str">
        <f>"NPOC/TN"</f>
        <v>NPOC/TN</v>
      </c>
      <c r="C217" t="str">
        <f>"1136"</f>
        <v>1136</v>
      </c>
      <c r="D217" t="str">
        <f>"DI"</f>
        <v>DI</v>
      </c>
      <c r="E217" t="str">
        <f>"C:\TOC3201\Methods\Itamar\acid_sample.met"</f>
        <v>C:\TOC3201\Methods\Itamar\acid_sample.met</v>
      </c>
      <c r="F217" t="str">
        <f>"C:\TOC3201\CalCurves\Itamar\C_cal_100ppm_acid_laurel.2019_08_21_13_17_46.cal"</f>
        <v>C:\TOC3201\CalCurves\Itamar\C_cal_100ppm_acid_laurel.2019_08_21_13_17_46.cal</v>
      </c>
      <c r="G217">
        <v>1</v>
      </c>
      <c r="H217" t="str">
        <f>""</f>
        <v/>
      </c>
      <c r="I217" t="str">
        <f>"8/22/2019 12:56:55 AM"</f>
        <v>8/22/2019 12:56:55 AM</v>
      </c>
      <c r="J217" t="str">
        <f>"1"</f>
        <v>1</v>
      </c>
      <c r="K217" t="str">
        <f>"1"</f>
        <v>1</v>
      </c>
      <c r="L217" t="str">
        <f>"NPOC"</f>
        <v>NPOC</v>
      </c>
      <c r="M217" t="str">
        <f>"272.7"</f>
        <v>272.7</v>
      </c>
      <c r="N217" t="str">
        <f>"55.43"</f>
        <v>55.43</v>
      </c>
      <c r="O217" t="str">
        <f>"NPOC:56.11mg/L TN:6.934mg/L"</f>
        <v>NPOC:56.11mg/L TN:6.934mg/L</v>
      </c>
      <c r="P217">
        <v>0</v>
      </c>
      <c r="Q217" t="str">
        <f>"80"</f>
        <v>80</v>
      </c>
    </row>
    <row r="218" spans="1:17" x14ac:dyDescent="0.2">
      <c r="A218" t="str">
        <f>"Unknown"</f>
        <v>Unknown</v>
      </c>
      <c r="B218" t="str">
        <f>"NPOC/TN"</f>
        <v>NPOC/TN</v>
      </c>
      <c r="C218" t="str">
        <f>"1136"</f>
        <v>1136</v>
      </c>
      <c r="D218" t="str">
        <f>"DI"</f>
        <v>DI</v>
      </c>
      <c r="E218" t="str">
        <f>"C:\TOC3201\Methods\Itamar\acid_sample.met"</f>
        <v>C:\TOC3201\Methods\Itamar\acid_sample.met</v>
      </c>
      <c r="F218" t="str">
        <f>"C:\TOC3201\CalCurves\Itamar\C_cal_100ppm_acid_laurel.2019_08_21_13_17_46.cal"</f>
        <v>C:\TOC3201\CalCurves\Itamar\C_cal_100ppm_acid_laurel.2019_08_21_13_17_46.cal</v>
      </c>
      <c r="G218">
        <v>1</v>
      </c>
      <c r="H218" t="str">
        <f>""</f>
        <v/>
      </c>
      <c r="I218" t="str">
        <f>"8/22/2019 1:01:18 AM"</f>
        <v>8/22/2019 1:01:18 AM</v>
      </c>
      <c r="J218" t="str">
        <f>"1"</f>
        <v>1</v>
      </c>
      <c r="K218" t="str">
        <f>"2"</f>
        <v>2</v>
      </c>
      <c r="L218" t="str">
        <f>"NPOC"</f>
        <v>NPOC</v>
      </c>
      <c r="M218" t="str">
        <f>"274.0"</f>
        <v>274.0</v>
      </c>
      <c r="N218" t="str">
        <f>"55.70"</f>
        <v>55.70</v>
      </c>
      <c r="O218" t="str">
        <f>"NPOC:56.11mg/L TN:6.934mg/L"</f>
        <v>NPOC:56.11mg/L TN:6.934mg/L</v>
      </c>
      <c r="P218">
        <v>0</v>
      </c>
      <c r="Q218" t="str">
        <f>"80"</f>
        <v>80</v>
      </c>
    </row>
    <row r="219" spans="1:17" x14ac:dyDescent="0.2">
      <c r="A219" t="str">
        <f>"Unknown"</f>
        <v>Unknown</v>
      </c>
      <c r="B219" t="str">
        <f>"NPOC/TN"</f>
        <v>NPOC/TN</v>
      </c>
      <c r="C219" t="str">
        <f>"1136"</f>
        <v>1136</v>
      </c>
      <c r="D219" t="str">
        <f>"DI"</f>
        <v>DI</v>
      </c>
      <c r="E219" t="str">
        <f>"C:\TOC3201\Methods\Itamar\acid_sample.met"</f>
        <v>C:\TOC3201\Methods\Itamar\acid_sample.met</v>
      </c>
      <c r="F219" t="str">
        <f>"C:\TOC3201\CalCurves\Itamar\C_cal_100ppm_acid_laurel.2019_08_21_13_17_46.cal"</f>
        <v>C:\TOC3201\CalCurves\Itamar\C_cal_100ppm_acid_laurel.2019_08_21_13_17_46.cal</v>
      </c>
      <c r="G219">
        <v>1</v>
      </c>
      <c r="H219" t="str">
        <f>""</f>
        <v/>
      </c>
      <c r="I219" t="str">
        <f>"8/22/2019 1:05:35 AM"</f>
        <v>8/22/2019 1:05:35 AM</v>
      </c>
      <c r="J219" t="str">
        <f>"1"</f>
        <v>1</v>
      </c>
      <c r="K219" t="str">
        <f>"3"</f>
        <v>3</v>
      </c>
      <c r="L219" t="str">
        <f>"NPOC"</f>
        <v>NPOC</v>
      </c>
      <c r="M219" t="str">
        <f>"244.6"</f>
        <v>244.6</v>
      </c>
      <c r="N219" t="str">
        <f>"49.69"</f>
        <v>49.69</v>
      </c>
      <c r="O219" t="str">
        <f>"NPOC:56.11mg/L TN:6.934mg/L"</f>
        <v>NPOC:56.11mg/L TN:6.934mg/L</v>
      </c>
      <c r="P219">
        <v>1</v>
      </c>
      <c r="Q219" t="str">
        <f>"80"</f>
        <v>80</v>
      </c>
    </row>
    <row r="220" spans="1:17" x14ac:dyDescent="0.2">
      <c r="A220" t="str">
        <f>"Unknown"</f>
        <v>Unknown</v>
      </c>
      <c r="B220" t="str">
        <f>"NPOC/TN"</f>
        <v>NPOC/TN</v>
      </c>
      <c r="C220" t="str">
        <f>"1136"</f>
        <v>1136</v>
      </c>
      <c r="D220" t="str">
        <f>"DI"</f>
        <v>DI</v>
      </c>
      <c r="E220" t="str">
        <f>"C:\TOC3201\Methods\Itamar\acid_sample.met"</f>
        <v>C:\TOC3201\Methods\Itamar\acid_sample.met</v>
      </c>
      <c r="F220" t="str">
        <f>"C:\TOC3201\CalCurves\Itamar\C_cal_100ppm_acid_laurel.2019_08_21_13_17_46.cal"</f>
        <v>C:\TOC3201\CalCurves\Itamar\C_cal_100ppm_acid_laurel.2019_08_21_13_17_46.cal</v>
      </c>
      <c r="G220">
        <v>1</v>
      </c>
      <c r="H220" t="str">
        <f>""</f>
        <v/>
      </c>
      <c r="I220" t="str">
        <f>"8/22/2019 1:10:03 AM"</f>
        <v>8/22/2019 1:10:03 AM</v>
      </c>
      <c r="J220" t="str">
        <f>"1"</f>
        <v>1</v>
      </c>
      <c r="K220" t="str">
        <f>"4"</f>
        <v>4</v>
      </c>
      <c r="L220" t="str">
        <f>"NPOC"</f>
        <v>NPOC</v>
      </c>
      <c r="M220" t="str">
        <f>"281.3"</f>
        <v>281.3</v>
      </c>
      <c r="N220" t="str">
        <f>"57.19"</f>
        <v>57.19</v>
      </c>
      <c r="O220" t="str">
        <f>"NPOC:56.11mg/L TN:6.934mg/L"</f>
        <v>NPOC:56.11mg/L TN:6.934mg/L</v>
      </c>
      <c r="P220">
        <v>0</v>
      </c>
      <c r="Q220" t="str">
        <f>"80"</f>
        <v>80</v>
      </c>
    </row>
    <row r="221" spans="1:17" x14ac:dyDescent="0.2">
      <c r="A221" t="str">
        <f>"Unknown"</f>
        <v>Unknown</v>
      </c>
      <c r="B221" t="str">
        <f>"NPOC/TN"</f>
        <v>NPOC/TN</v>
      </c>
      <c r="C221" t="str">
        <f>"1136"</f>
        <v>1136</v>
      </c>
      <c r="D221" t="str">
        <f>"DI"</f>
        <v>DI</v>
      </c>
      <c r="E221" t="str">
        <f>"C:\TOC3201\Methods\Itamar\acid_sample.met"</f>
        <v>C:\TOC3201\Methods\Itamar\acid_sample.met</v>
      </c>
      <c r="F221" t="str">
        <f>"C:\TOC3201\CalCurves\Itamar\N_cal_25ppm_acid_laurel.2019_08_21_15_23_49.cal"</f>
        <v>C:\TOC3201\CalCurves\Itamar\N_cal_25ppm_acid_laurel.2019_08_21_15_23_49.cal</v>
      </c>
      <c r="G221">
        <v>1</v>
      </c>
      <c r="H221" t="str">
        <f>""</f>
        <v/>
      </c>
      <c r="I221" t="str">
        <f>"8/22/2019 12:56:55 AM"</f>
        <v>8/22/2019 12:56:55 AM</v>
      </c>
      <c r="J221" t="str">
        <f>"1"</f>
        <v>1</v>
      </c>
      <c r="K221" t="str">
        <f>"1"</f>
        <v>1</v>
      </c>
      <c r="L221" t="str">
        <f>"TN"</f>
        <v>TN</v>
      </c>
      <c r="M221" t="str">
        <f>"24.78"</f>
        <v>24.78</v>
      </c>
      <c r="N221" t="str">
        <f>"6.951"</f>
        <v>6.951</v>
      </c>
      <c r="O221" t="str">
        <f>"NPOC:56.11mg/L TN:6.934mg/L"</f>
        <v>NPOC:56.11mg/L TN:6.934mg/L</v>
      </c>
      <c r="P221">
        <v>0</v>
      </c>
      <c r="Q221" t="str">
        <f>"80"</f>
        <v>80</v>
      </c>
    </row>
    <row r="222" spans="1:17" x14ac:dyDescent="0.2">
      <c r="A222" t="str">
        <f>"Unknown"</f>
        <v>Unknown</v>
      </c>
      <c r="B222" t="str">
        <f>"NPOC/TN"</f>
        <v>NPOC/TN</v>
      </c>
      <c r="C222" t="str">
        <f>"1136"</f>
        <v>1136</v>
      </c>
      <c r="D222" t="str">
        <f>"DI"</f>
        <v>DI</v>
      </c>
      <c r="E222" t="str">
        <f>"C:\TOC3201\Methods\Itamar\acid_sample.met"</f>
        <v>C:\TOC3201\Methods\Itamar\acid_sample.met</v>
      </c>
      <c r="F222" t="str">
        <f>"C:\TOC3201\CalCurves\Itamar\N_cal_25ppm_acid_laurel.2019_08_21_15_23_49.cal"</f>
        <v>C:\TOC3201\CalCurves\Itamar\N_cal_25ppm_acid_laurel.2019_08_21_15_23_49.cal</v>
      </c>
      <c r="G222">
        <v>1</v>
      </c>
      <c r="H222" t="str">
        <f>""</f>
        <v/>
      </c>
      <c r="I222" t="str">
        <f>"8/22/2019 1:01:18 AM"</f>
        <v>8/22/2019 1:01:18 AM</v>
      </c>
      <c r="J222" t="str">
        <f>"1"</f>
        <v>1</v>
      </c>
      <c r="K222" t="str">
        <f>"2"</f>
        <v>2</v>
      </c>
      <c r="L222" t="str">
        <f>"TN"</f>
        <v>TN</v>
      </c>
      <c r="M222" t="str">
        <f>"24.31"</f>
        <v>24.31</v>
      </c>
      <c r="N222" t="str">
        <f>"6.822"</f>
        <v>6.822</v>
      </c>
      <c r="O222" t="str">
        <f>"NPOC:56.11mg/L TN:6.934mg/L"</f>
        <v>NPOC:56.11mg/L TN:6.934mg/L</v>
      </c>
      <c r="P222">
        <v>0</v>
      </c>
      <c r="Q222" t="str">
        <f>"80"</f>
        <v>80</v>
      </c>
    </row>
    <row r="223" spans="1:17" x14ac:dyDescent="0.2">
      <c r="A223" t="str">
        <f>"Unknown"</f>
        <v>Unknown</v>
      </c>
      <c r="B223" t="str">
        <f>"NPOC/TN"</f>
        <v>NPOC/TN</v>
      </c>
      <c r="C223" t="str">
        <f>"1136"</f>
        <v>1136</v>
      </c>
      <c r="D223" t="str">
        <f>"DI"</f>
        <v>DI</v>
      </c>
      <c r="E223" t="str">
        <f>"C:\TOC3201\Methods\Itamar\acid_sample.met"</f>
        <v>C:\TOC3201\Methods\Itamar\acid_sample.met</v>
      </c>
      <c r="F223" t="str">
        <f>"C:\TOC3201\CalCurves\Itamar\N_cal_25ppm_acid_laurel.2019_08_21_15_23_49.cal"</f>
        <v>C:\TOC3201\CalCurves\Itamar\N_cal_25ppm_acid_laurel.2019_08_21_15_23_49.cal</v>
      </c>
      <c r="G223">
        <v>1</v>
      </c>
      <c r="H223" t="str">
        <f>""</f>
        <v/>
      </c>
      <c r="I223" t="str">
        <f>"8/22/2019 1:05:35 AM"</f>
        <v>8/22/2019 1:05:35 AM</v>
      </c>
      <c r="J223" t="str">
        <f>"1"</f>
        <v>1</v>
      </c>
      <c r="K223" t="str">
        <f>"3"</f>
        <v>3</v>
      </c>
      <c r="L223" t="str">
        <f>"TN"</f>
        <v>TN</v>
      </c>
      <c r="M223" t="str">
        <f>"22.30"</f>
        <v>22.30</v>
      </c>
      <c r="N223" t="str">
        <f>"6.271"</f>
        <v>6.271</v>
      </c>
      <c r="O223" t="str">
        <f>"NPOC:56.11mg/L TN:6.934mg/L"</f>
        <v>NPOC:56.11mg/L TN:6.934mg/L</v>
      </c>
      <c r="P223">
        <v>1</v>
      </c>
      <c r="Q223" t="str">
        <f>"80"</f>
        <v>80</v>
      </c>
    </row>
    <row r="224" spans="1:17" x14ac:dyDescent="0.2">
      <c r="A224" t="str">
        <f>"Unknown"</f>
        <v>Unknown</v>
      </c>
      <c r="B224" t="str">
        <f>"NPOC/TN"</f>
        <v>NPOC/TN</v>
      </c>
      <c r="C224" t="str">
        <f>"1136"</f>
        <v>1136</v>
      </c>
      <c r="D224" t="str">
        <f>"DI"</f>
        <v>DI</v>
      </c>
      <c r="E224" t="str">
        <f>"C:\TOC3201\Methods\Itamar\acid_sample.met"</f>
        <v>C:\TOC3201\Methods\Itamar\acid_sample.met</v>
      </c>
      <c r="F224" t="str">
        <f>"C:\TOC3201\CalCurves\Itamar\N_cal_25ppm_acid_laurel.2019_08_21_15_23_49.cal"</f>
        <v>C:\TOC3201\CalCurves\Itamar\N_cal_25ppm_acid_laurel.2019_08_21_15_23_49.cal</v>
      </c>
      <c r="G224">
        <v>1</v>
      </c>
      <c r="H224" t="str">
        <f>""</f>
        <v/>
      </c>
      <c r="I224" t="str">
        <f>"8/22/2019 1:10:03 AM"</f>
        <v>8/22/2019 1:10:03 AM</v>
      </c>
      <c r="J224" t="str">
        <f>"1"</f>
        <v>1</v>
      </c>
      <c r="K224" t="str">
        <f>"4"</f>
        <v>4</v>
      </c>
      <c r="L224" t="str">
        <f>"TN"</f>
        <v>TN</v>
      </c>
      <c r="M224" t="str">
        <f>"25.07"</f>
        <v>25.07</v>
      </c>
      <c r="N224" t="str">
        <f>"7.030"</f>
        <v>7.030</v>
      </c>
      <c r="O224" t="str">
        <f>"NPOC:56.11mg/L TN:6.934mg/L"</f>
        <v>NPOC:56.11mg/L TN:6.934mg/L</v>
      </c>
      <c r="P224">
        <v>0</v>
      </c>
      <c r="Q224" t="str">
        <f>"80"</f>
        <v>80</v>
      </c>
    </row>
    <row r="225" spans="1:17" x14ac:dyDescent="0.2">
      <c r="A225" t="str">
        <f>"Unknown"</f>
        <v>Unknown</v>
      </c>
      <c r="B225" t="str">
        <f>"NPOC/TN"</f>
        <v>NPOC/TN</v>
      </c>
      <c r="C225" t="str">
        <f>"1138"</f>
        <v>1138</v>
      </c>
      <c r="D225" t="str">
        <f>"DI"</f>
        <v>DI</v>
      </c>
      <c r="E225" t="str">
        <f>"C:\TOC3201\Methods\Itamar\acid_sample.met"</f>
        <v>C:\TOC3201\Methods\Itamar\acid_sample.met</v>
      </c>
      <c r="F225" t="str">
        <f>"C:\TOC3201\CalCurves\Itamar\C_cal_100ppm_acid_laurel.2019_08_21_13_17_46.cal"</f>
        <v>C:\TOC3201\CalCurves\Itamar\C_cal_100ppm_acid_laurel.2019_08_21_13_17_46.cal</v>
      </c>
      <c r="G225">
        <v>1</v>
      </c>
      <c r="H225" t="str">
        <f>""</f>
        <v/>
      </c>
      <c r="I225" t="str">
        <f>"8/22/2019 1:20:50 AM"</f>
        <v>8/22/2019 1:20:50 AM</v>
      </c>
      <c r="J225" t="str">
        <f>"1"</f>
        <v>1</v>
      </c>
      <c r="K225" t="str">
        <f>"1"</f>
        <v>1</v>
      </c>
      <c r="L225" t="str">
        <f>"NPOC"</f>
        <v>NPOC</v>
      </c>
      <c r="M225" t="str">
        <f>"278.7"</f>
        <v>278.7</v>
      </c>
      <c r="N225" t="str">
        <f>"56.66"</f>
        <v>56.66</v>
      </c>
      <c r="O225" t="str">
        <f>"NPOC:57.41mg/L TN:6.940mg/L"</f>
        <v>NPOC:57.41mg/L TN:6.940mg/L</v>
      </c>
      <c r="P225">
        <v>0</v>
      </c>
      <c r="Q225" t="str">
        <f>"80"</f>
        <v>80</v>
      </c>
    </row>
    <row r="226" spans="1:17" x14ac:dyDescent="0.2">
      <c r="A226" t="str">
        <f>"Unknown"</f>
        <v>Unknown</v>
      </c>
      <c r="B226" t="str">
        <f>"NPOC/TN"</f>
        <v>NPOC/TN</v>
      </c>
      <c r="C226" t="str">
        <f>"1138"</f>
        <v>1138</v>
      </c>
      <c r="D226" t="str">
        <f>"DI"</f>
        <v>DI</v>
      </c>
      <c r="E226" t="str">
        <f>"C:\TOC3201\Methods\Itamar\acid_sample.met"</f>
        <v>C:\TOC3201\Methods\Itamar\acid_sample.met</v>
      </c>
      <c r="F226" t="str">
        <f>"C:\TOC3201\CalCurves\Itamar\C_cal_100ppm_acid_laurel.2019_08_21_13_17_46.cal"</f>
        <v>C:\TOC3201\CalCurves\Itamar\C_cal_100ppm_acid_laurel.2019_08_21_13_17_46.cal</v>
      </c>
      <c r="G226">
        <v>1</v>
      </c>
      <c r="H226" t="str">
        <f>""</f>
        <v/>
      </c>
      <c r="I226" t="str">
        <f>"8/22/2019 1:25:11 AM"</f>
        <v>8/22/2019 1:25:11 AM</v>
      </c>
      <c r="J226" t="str">
        <f>"1"</f>
        <v>1</v>
      </c>
      <c r="K226" t="str">
        <f>"2"</f>
        <v>2</v>
      </c>
      <c r="L226" t="str">
        <f>"NPOC"</f>
        <v>NPOC</v>
      </c>
      <c r="M226" t="str">
        <f>"282.5"</f>
        <v>282.5</v>
      </c>
      <c r="N226" t="str">
        <f>"57.43"</f>
        <v>57.43</v>
      </c>
      <c r="O226" t="str">
        <f>"NPOC:57.41mg/L TN:6.940mg/L"</f>
        <v>NPOC:57.41mg/L TN:6.940mg/L</v>
      </c>
      <c r="P226">
        <v>0</v>
      </c>
      <c r="Q226" t="str">
        <f>"80"</f>
        <v>80</v>
      </c>
    </row>
    <row r="227" spans="1:17" x14ac:dyDescent="0.2">
      <c r="A227" t="str">
        <f>"Unknown"</f>
        <v>Unknown</v>
      </c>
      <c r="B227" t="str">
        <f>"NPOC/TN"</f>
        <v>NPOC/TN</v>
      </c>
      <c r="C227" t="str">
        <f>"1138"</f>
        <v>1138</v>
      </c>
      <c r="D227" t="str">
        <f>"DI"</f>
        <v>DI</v>
      </c>
      <c r="E227" t="str">
        <f>"C:\TOC3201\Methods\Itamar\acid_sample.met"</f>
        <v>C:\TOC3201\Methods\Itamar\acid_sample.met</v>
      </c>
      <c r="F227" t="str">
        <f>"C:\TOC3201\CalCurves\Itamar\C_cal_100ppm_acid_laurel.2019_08_21_13_17_46.cal"</f>
        <v>C:\TOC3201\CalCurves\Itamar\C_cal_100ppm_acid_laurel.2019_08_21_13_17_46.cal</v>
      </c>
      <c r="G227">
        <v>1</v>
      </c>
      <c r="H227" t="str">
        <f>""</f>
        <v/>
      </c>
      <c r="I227" t="str">
        <f>"8/22/2019 1:29:26 AM"</f>
        <v>8/22/2019 1:29:26 AM</v>
      </c>
      <c r="J227" t="str">
        <f>"1"</f>
        <v>1</v>
      </c>
      <c r="K227" t="str">
        <f>"3"</f>
        <v>3</v>
      </c>
      <c r="L227" t="str">
        <f>"NPOC"</f>
        <v>NPOC</v>
      </c>
      <c r="M227" t="str">
        <f>"295.2"</f>
        <v>295.2</v>
      </c>
      <c r="N227" t="str">
        <f>"60.03"</f>
        <v>60.03</v>
      </c>
      <c r="O227" t="str">
        <f>"NPOC:57.41mg/L TN:6.940mg/L"</f>
        <v>NPOC:57.41mg/L TN:6.940mg/L</v>
      </c>
      <c r="P227">
        <v>1</v>
      </c>
      <c r="Q227" t="str">
        <f>"80"</f>
        <v>80</v>
      </c>
    </row>
    <row r="228" spans="1:17" x14ac:dyDescent="0.2">
      <c r="A228" t="str">
        <f>"Unknown"</f>
        <v>Unknown</v>
      </c>
      <c r="B228" t="str">
        <f>"NPOC/TN"</f>
        <v>NPOC/TN</v>
      </c>
      <c r="C228" t="str">
        <f>"1138"</f>
        <v>1138</v>
      </c>
      <c r="D228" t="str">
        <f>"DI"</f>
        <v>DI</v>
      </c>
      <c r="E228" t="str">
        <f>"C:\TOC3201\Methods\Itamar\acid_sample.met"</f>
        <v>C:\TOC3201\Methods\Itamar\acid_sample.met</v>
      </c>
      <c r="F228" t="str">
        <f>"C:\TOC3201\CalCurves\Itamar\C_cal_100ppm_acid_laurel.2019_08_21_13_17_46.cal"</f>
        <v>C:\TOC3201\CalCurves\Itamar\C_cal_100ppm_acid_laurel.2019_08_21_13_17_46.cal</v>
      </c>
      <c r="G228">
        <v>1</v>
      </c>
      <c r="H228" t="str">
        <f>""</f>
        <v/>
      </c>
      <c r="I228" t="str">
        <f>"8/22/2019 1:33:47 AM"</f>
        <v>8/22/2019 1:33:47 AM</v>
      </c>
      <c r="J228" t="str">
        <f>"1"</f>
        <v>1</v>
      </c>
      <c r="K228" t="str">
        <f>"4"</f>
        <v>4</v>
      </c>
      <c r="L228" t="str">
        <f>"NPOC"</f>
        <v>NPOC</v>
      </c>
      <c r="M228" t="str">
        <f>"286.0"</f>
        <v>286.0</v>
      </c>
      <c r="N228" t="str">
        <f>"58.15"</f>
        <v>58.15</v>
      </c>
      <c r="O228" t="str">
        <f>"NPOC:57.41mg/L TN:6.940mg/L"</f>
        <v>NPOC:57.41mg/L TN:6.940mg/L</v>
      </c>
      <c r="P228">
        <v>0</v>
      </c>
      <c r="Q228" t="str">
        <f>"80"</f>
        <v>80</v>
      </c>
    </row>
    <row r="229" spans="1:17" x14ac:dyDescent="0.2">
      <c r="A229" t="str">
        <f>"Unknown"</f>
        <v>Unknown</v>
      </c>
      <c r="B229" t="str">
        <f>"NPOC/TN"</f>
        <v>NPOC/TN</v>
      </c>
      <c r="C229" t="str">
        <f>"1138"</f>
        <v>1138</v>
      </c>
      <c r="D229" t="str">
        <f>"DI"</f>
        <v>DI</v>
      </c>
      <c r="E229" t="str">
        <f>"C:\TOC3201\Methods\Itamar\acid_sample.met"</f>
        <v>C:\TOC3201\Methods\Itamar\acid_sample.met</v>
      </c>
      <c r="F229" t="str">
        <f>"C:\TOC3201\CalCurves\Itamar\N_cal_25ppm_acid_laurel.2019_08_21_15_23_49.cal"</f>
        <v>C:\TOC3201\CalCurves\Itamar\N_cal_25ppm_acid_laurel.2019_08_21_15_23_49.cal</v>
      </c>
      <c r="G229">
        <v>1</v>
      </c>
      <c r="H229" t="str">
        <f>""</f>
        <v/>
      </c>
      <c r="I229" t="str">
        <f>"8/22/2019 1:20:50 AM"</f>
        <v>8/22/2019 1:20:50 AM</v>
      </c>
      <c r="J229" t="str">
        <f>"1"</f>
        <v>1</v>
      </c>
      <c r="K229" t="str">
        <f>"1"</f>
        <v>1</v>
      </c>
      <c r="L229" t="str">
        <f>"TN"</f>
        <v>TN</v>
      </c>
      <c r="M229" t="str">
        <f>"24.63"</f>
        <v>24.63</v>
      </c>
      <c r="N229" t="str">
        <f>"6.910"</f>
        <v>6.910</v>
      </c>
      <c r="O229" t="str">
        <f>"NPOC:57.41mg/L TN:6.940mg/L"</f>
        <v>NPOC:57.41mg/L TN:6.940mg/L</v>
      </c>
      <c r="P229">
        <v>0</v>
      </c>
      <c r="Q229" t="str">
        <f>"80"</f>
        <v>80</v>
      </c>
    </row>
    <row r="230" spans="1:17" x14ac:dyDescent="0.2">
      <c r="A230" t="str">
        <f>"Unknown"</f>
        <v>Unknown</v>
      </c>
      <c r="B230" t="str">
        <f>"NPOC/TN"</f>
        <v>NPOC/TN</v>
      </c>
      <c r="C230" t="str">
        <f>"1138"</f>
        <v>1138</v>
      </c>
      <c r="D230" t="str">
        <f>"DI"</f>
        <v>DI</v>
      </c>
      <c r="E230" t="str">
        <f>"C:\TOC3201\Methods\Itamar\acid_sample.met"</f>
        <v>C:\TOC3201\Methods\Itamar\acid_sample.met</v>
      </c>
      <c r="F230" t="str">
        <f>"C:\TOC3201\CalCurves\Itamar\N_cal_25ppm_acid_laurel.2019_08_21_15_23_49.cal"</f>
        <v>C:\TOC3201\CalCurves\Itamar\N_cal_25ppm_acid_laurel.2019_08_21_15_23_49.cal</v>
      </c>
      <c r="G230">
        <v>1</v>
      </c>
      <c r="H230" t="str">
        <f>""</f>
        <v/>
      </c>
      <c r="I230" t="str">
        <f>"8/22/2019 1:25:11 AM"</f>
        <v>8/22/2019 1:25:11 AM</v>
      </c>
      <c r="J230" t="str">
        <f>"1"</f>
        <v>1</v>
      </c>
      <c r="K230" t="str">
        <f>"2"</f>
        <v>2</v>
      </c>
      <c r="L230" t="str">
        <f>"TN"</f>
        <v>TN</v>
      </c>
      <c r="M230" t="str">
        <f>"24.58"</f>
        <v>24.58</v>
      </c>
      <c r="N230" t="str">
        <f>"6.896"</f>
        <v>6.896</v>
      </c>
      <c r="O230" t="str">
        <f>"NPOC:57.41mg/L TN:6.940mg/L"</f>
        <v>NPOC:57.41mg/L TN:6.940mg/L</v>
      </c>
      <c r="P230">
        <v>0</v>
      </c>
      <c r="Q230" t="str">
        <f>"80"</f>
        <v>80</v>
      </c>
    </row>
    <row r="231" spans="1:17" x14ac:dyDescent="0.2">
      <c r="A231" t="str">
        <f>"Unknown"</f>
        <v>Unknown</v>
      </c>
      <c r="B231" t="str">
        <f>"NPOC/TN"</f>
        <v>NPOC/TN</v>
      </c>
      <c r="C231" t="str">
        <f>"1138"</f>
        <v>1138</v>
      </c>
      <c r="D231" t="str">
        <f>"DI"</f>
        <v>DI</v>
      </c>
      <c r="E231" t="str">
        <f>"C:\TOC3201\Methods\Itamar\acid_sample.met"</f>
        <v>C:\TOC3201\Methods\Itamar\acid_sample.met</v>
      </c>
      <c r="F231" t="str">
        <f>"C:\TOC3201\CalCurves\Itamar\N_cal_25ppm_acid_laurel.2019_08_21_15_23_49.cal"</f>
        <v>C:\TOC3201\CalCurves\Itamar\N_cal_25ppm_acid_laurel.2019_08_21_15_23_49.cal</v>
      </c>
      <c r="G231">
        <v>1</v>
      </c>
      <c r="H231" t="str">
        <f>""</f>
        <v/>
      </c>
      <c r="I231" t="str">
        <f>"8/22/2019 1:29:26 AM"</f>
        <v>8/22/2019 1:29:26 AM</v>
      </c>
      <c r="J231" t="str">
        <f>"1"</f>
        <v>1</v>
      </c>
      <c r="K231" t="str">
        <f>"3"</f>
        <v>3</v>
      </c>
      <c r="L231" t="str">
        <f>"TN"</f>
        <v>TN</v>
      </c>
      <c r="M231" t="str">
        <f>"26.91"</f>
        <v>26.91</v>
      </c>
      <c r="N231" t="str">
        <f>"7.535"</f>
        <v>7.535</v>
      </c>
      <c r="O231" t="str">
        <f>"NPOC:57.41mg/L TN:6.940mg/L"</f>
        <v>NPOC:57.41mg/L TN:6.940mg/L</v>
      </c>
      <c r="P231">
        <v>1</v>
      </c>
      <c r="Q231" t="str">
        <f>"80"</f>
        <v>80</v>
      </c>
    </row>
    <row r="232" spans="1:17" x14ac:dyDescent="0.2">
      <c r="A232" t="str">
        <f>"Unknown"</f>
        <v>Unknown</v>
      </c>
      <c r="B232" t="str">
        <f>"NPOC/TN"</f>
        <v>NPOC/TN</v>
      </c>
      <c r="C232" t="str">
        <f>"1138"</f>
        <v>1138</v>
      </c>
      <c r="D232" t="str">
        <f>"DI"</f>
        <v>DI</v>
      </c>
      <c r="E232" t="str">
        <f>"C:\TOC3201\Methods\Itamar\acid_sample.met"</f>
        <v>C:\TOC3201\Methods\Itamar\acid_sample.met</v>
      </c>
      <c r="F232" t="str">
        <f>"C:\TOC3201\CalCurves\Itamar\N_cal_25ppm_acid_laurel.2019_08_21_15_23_49.cal"</f>
        <v>C:\TOC3201\CalCurves\Itamar\N_cal_25ppm_acid_laurel.2019_08_21_15_23_49.cal</v>
      </c>
      <c r="G232">
        <v>1</v>
      </c>
      <c r="H232" t="str">
        <f>""</f>
        <v/>
      </c>
      <c r="I232" t="str">
        <f>"8/22/2019 1:33:47 AM"</f>
        <v>8/22/2019 1:33:47 AM</v>
      </c>
      <c r="J232" t="str">
        <f>"1"</f>
        <v>1</v>
      </c>
      <c r="K232" t="str">
        <f>"4"</f>
        <v>4</v>
      </c>
      <c r="L232" t="str">
        <f>"TN"</f>
        <v>TN</v>
      </c>
      <c r="M232" t="str">
        <f>"25.01"</f>
        <v>25.01</v>
      </c>
      <c r="N232" t="str">
        <f>"7.014"</f>
        <v>7.014</v>
      </c>
      <c r="O232" t="str">
        <f>"NPOC:57.41mg/L TN:6.940mg/L"</f>
        <v>NPOC:57.41mg/L TN:6.940mg/L</v>
      </c>
      <c r="P232">
        <v>0</v>
      </c>
      <c r="Q232" t="str">
        <f>"80"</f>
        <v>80</v>
      </c>
    </row>
    <row r="233" spans="1:17" x14ac:dyDescent="0.2">
      <c r="A233" t="str">
        <f>"Unknown"</f>
        <v>Unknown</v>
      </c>
      <c r="B233" t="str">
        <f>"NPOC/TN"</f>
        <v>NPOC/TN</v>
      </c>
      <c r="C233" t="str">
        <f>"1140"</f>
        <v>1140</v>
      </c>
      <c r="D233" t="str">
        <f>"DI"</f>
        <v>DI</v>
      </c>
      <c r="E233" t="str">
        <f>"C:\TOC3201\Methods\Itamar\acid_sample.met"</f>
        <v>C:\TOC3201\Methods\Itamar\acid_sample.met</v>
      </c>
      <c r="F233" t="str">
        <f>"C:\TOC3201\CalCurves\Itamar\C_cal_100ppm_acid_laurel.2019_08_21_13_17_46.cal"</f>
        <v>C:\TOC3201\CalCurves\Itamar\C_cal_100ppm_acid_laurel.2019_08_21_13_17_46.cal</v>
      </c>
      <c r="G233">
        <v>1</v>
      </c>
      <c r="H233" t="str">
        <f>""</f>
        <v/>
      </c>
      <c r="I233" t="str">
        <f>"8/22/2019 1:44:41 AM"</f>
        <v>8/22/2019 1:44:41 AM</v>
      </c>
      <c r="J233" t="str">
        <f>"1"</f>
        <v>1</v>
      </c>
      <c r="K233" t="str">
        <f>"1"</f>
        <v>1</v>
      </c>
      <c r="L233" t="str">
        <f>"NPOC"</f>
        <v>NPOC</v>
      </c>
      <c r="M233" t="str">
        <f>"275.7"</f>
        <v>275.7</v>
      </c>
      <c r="N233" t="str">
        <f>"56.04"</f>
        <v>56.04</v>
      </c>
      <c r="O233" t="str">
        <f>"NPOC:56.27mg/L TN:7.113mg/L"</f>
        <v>NPOC:56.27mg/L TN:7.113mg/L</v>
      </c>
      <c r="P233">
        <v>0</v>
      </c>
      <c r="Q233" t="str">
        <f>"80"</f>
        <v>80</v>
      </c>
    </row>
    <row r="234" spans="1:17" x14ac:dyDescent="0.2">
      <c r="A234" t="str">
        <f>"Unknown"</f>
        <v>Unknown</v>
      </c>
      <c r="B234" t="str">
        <f>"NPOC/TN"</f>
        <v>NPOC/TN</v>
      </c>
      <c r="C234" t="str">
        <f>"1140"</f>
        <v>1140</v>
      </c>
      <c r="D234" t="str">
        <f>"DI"</f>
        <v>DI</v>
      </c>
      <c r="E234" t="str">
        <f>"C:\TOC3201\Methods\Itamar\acid_sample.met"</f>
        <v>C:\TOC3201\Methods\Itamar\acid_sample.met</v>
      </c>
      <c r="F234" t="str">
        <f>"C:\TOC3201\CalCurves\Itamar\C_cal_100ppm_acid_laurel.2019_08_21_13_17_46.cal"</f>
        <v>C:\TOC3201\CalCurves\Itamar\C_cal_100ppm_acid_laurel.2019_08_21_13_17_46.cal</v>
      </c>
      <c r="G234">
        <v>1</v>
      </c>
      <c r="H234" t="str">
        <f>""</f>
        <v/>
      </c>
      <c r="I234" t="str">
        <f>"8/22/2019 1:48:55 AM"</f>
        <v>8/22/2019 1:48:55 AM</v>
      </c>
      <c r="J234" t="str">
        <f>"1"</f>
        <v>1</v>
      </c>
      <c r="K234" t="str">
        <f>"2"</f>
        <v>2</v>
      </c>
      <c r="L234" t="str">
        <f>"NPOC"</f>
        <v>NPOC</v>
      </c>
      <c r="M234" t="str">
        <f>"259.7"</f>
        <v>259.7</v>
      </c>
      <c r="N234" t="str">
        <f>"52.77"</f>
        <v>52.77</v>
      </c>
      <c r="O234" t="str">
        <f>"NPOC:56.27mg/L TN:7.113mg/L"</f>
        <v>NPOC:56.27mg/L TN:7.113mg/L</v>
      </c>
      <c r="P234">
        <v>1</v>
      </c>
      <c r="Q234" t="str">
        <f>"80"</f>
        <v>80</v>
      </c>
    </row>
    <row r="235" spans="1:17" x14ac:dyDescent="0.2">
      <c r="A235" t="str">
        <f>"Unknown"</f>
        <v>Unknown</v>
      </c>
      <c r="B235" t="str">
        <f>"NPOC/TN"</f>
        <v>NPOC/TN</v>
      </c>
      <c r="C235" t="str">
        <f>"1140"</f>
        <v>1140</v>
      </c>
      <c r="D235" t="str">
        <f>"DI"</f>
        <v>DI</v>
      </c>
      <c r="E235" t="str">
        <f>"C:\TOC3201\Methods\Itamar\acid_sample.met"</f>
        <v>C:\TOC3201\Methods\Itamar\acid_sample.met</v>
      </c>
      <c r="F235" t="str">
        <f>"C:\TOC3201\CalCurves\Itamar\C_cal_100ppm_acid_laurel.2019_08_21_13_17_46.cal"</f>
        <v>C:\TOC3201\CalCurves\Itamar\C_cal_100ppm_acid_laurel.2019_08_21_13_17_46.cal</v>
      </c>
      <c r="G235">
        <v>1</v>
      </c>
      <c r="H235" t="str">
        <f>""</f>
        <v/>
      </c>
      <c r="I235" t="str">
        <f>"8/22/2019 1:53:14 AM"</f>
        <v>8/22/2019 1:53:14 AM</v>
      </c>
      <c r="J235" t="str">
        <f>"1"</f>
        <v>1</v>
      </c>
      <c r="K235" t="str">
        <f>"3"</f>
        <v>3</v>
      </c>
      <c r="L235" t="str">
        <f>"NPOC"</f>
        <v>NPOC</v>
      </c>
      <c r="M235" t="str">
        <f>"277.0"</f>
        <v>277.0</v>
      </c>
      <c r="N235" t="str">
        <f>"56.31"</f>
        <v>56.31</v>
      </c>
      <c r="O235" t="str">
        <f>"NPOC:56.27mg/L TN:7.113mg/L"</f>
        <v>NPOC:56.27mg/L TN:7.113mg/L</v>
      </c>
      <c r="P235">
        <v>0</v>
      </c>
      <c r="Q235" t="str">
        <f>"80"</f>
        <v>80</v>
      </c>
    </row>
    <row r="236" spans="1:17" x14ac:dyDescent="0.2">
      <c r="A236" t="str">
        <f>"Unknown"</f>
        <v>Unknown</v>
      </c>
      <c r="B236" t="str">
        <f>"NPOC/TN"</f>
        <v>NPOC/TN</v>
      </c>
      <c r="C236" t="str">
        <f>"1140"</f>
        <v>1140</v>
      </c>
      <c r="D236" t="str">
        <f>"DI"</f>
        <v>DI</v>
      </c>
      <c r="E236" t="str">
        <f>"C:\TOC3201\Methods\Itamar\acid_sample.met"</f>
        <v>C:\TOC3201\Methods\Itamar\acid_sample.met</v>
      </c>
      <c r="F236" t="str">
        <f>"C:\TOC3201\CalCurves\Itamar\C_cal_100ppm_acid_laurel.2019_08_21_13_17_46.cal"</f>
        <v>C:\TOC3201\CalCurves\Itamar\C_cal_100ppm_acid_laurel.2019_08_21_13_17_46.cal</v>
      </c>
      <c r="G236">
        <v>1</v>
      </c>
      <c r="H236" t="str">
        <f>""</f>
        <v/>
      </c>
      <c r="I236" t="str">
        <f>"8/22/2019 1:57:27 AM"</f>
        <v>8/22/2019 1:57:27 AM</v>
      </c>
      <c r="J236" t="str">
        <f>"1"</f>
        <v>1</v>
      </c>
      <c r="K236" t="str">
        <f>"4"</f>
        <v>4</v>
      </c>
      <c r="L236" t="str">
        <f>"NPOC"</f>
        <v>NPOC</v>
      </c>
      <c r="M236" t="str">
        <f>"277.7"</f>
        <v>277.7</v>
      </c>
      <c r="N236" t="str">
        <f>"56.45"</f>
        <v>56.45</v>
      </c>
      <c r="O236" t="str">
        <f>"NPOC:56.27mg/L TN:7.113mg/L"</f>
        <v>NPOC:56.27mg/L TN:7.113mg/L</v>
      </c>
      <c r="P236">
        <v>0</v>
      </c>
      <c r="Q236" t="str">
        <f>"80"</f>
        <v>80</v>
      </c>
    </row>
    <row r="237" spans="1:17" x14ac:dyDescent="0.2">
      <c r="A237" t="str">
        <f>"Unknown"</f>
        <v>Unknown</v>
      </c>
      <c r="B237" t="str">
        <f>"NPOC/TN"</f>
        <v>NPOC/TN</v>
      </c>
      <c r="C237" t="str">
        <f>"1140"</f>
        <v>1140</v>
      </c>
      <c r="D237" t="str">
        <f>"DI"</f>
        <v>DI</v>
      </c>
      <c r="E237" t="str">
        <f>"C:\TOC3201\Methods\Itamar\acid_sample.met"</f>
        <v>C:\TOC3201\Methods\Itamar\acid_sample.met</v>
      </c>
      <c r="F237" t="str">
        <f>"C:\TOC3201\CalCurves\Itamar\N_cal_25ppm_acid_laurel.2019_08_21_15_23_49.cal"</f>
        <v>C:\TOC3201\CalCurves\Itamar\N_cal_25ppm_acid_laurel.2019_08_21_15_23_49.cal</v>
      </c>
      <c r="G237">
        <v>1</v>
      </c>
      <c r="H237" t="str">
        <f>""</f>
        <v/>
      </c>
      <c r="I237" t="str">
        <f>"8/22/2019 1:44:41 AM"</f>
        <v>8/22/2019 1:44:41 AM</v>
      </c>
      <c r="J237" t="str">
        <f>"1"</f>
        <v>1</v>
      </c>
      <c r="K237" t="str">
        <f>"1"</f>
        <v>1</v>
      </c>
      <c r="L237" t="str">
        <f>"TN"</f>
        <v>TN</v>
      </c>
      <c r="M237" t="str">
        <f>"25.75"</f>
        <v>25.75</v>
      </c>
      <c r="N237" t="str">
        <f>"7.217"</f>
        <v>7.217</v>
      </c>
      <c r="O237" t="str">
        <f>"NPOC:56.27mg/L TN:7.113mg/L"</f>
        <v>NPOC:56.27mg/L TN:7.113mg/L</v>
      </c>
      <c r="P237">
        <v>0</v>
      </c>
      <c r="Q237" t="str">
        <f>"80"</f>
        <v>80</v>
      </c>
    </row>
    <row r="238" spans="1:17" x14ac:dyDescent="0.2">
      <c r="A238" t="str">
        <f>"Unknown"</f>
        <v>Unknown</v>
      </c>
      <c r="B238" t="str">
        <f>"NPOC/TN"</f>
        <v>NPOC/TN</v>
      </c>
      <c r="C238" t="str">
        <f>"1140"</f>
        <v>1140</v>
      </c>
      <c r="D238" t="str">
        <f>"DI"</f>
        <v>DI</v>
      </c>
      <c r="E238" t="str">
        <f>"C:\TOC3201\Methods\Itamar\acid_sample.met"</f>
        <v>C:\TOC3201\Methods\Itamar\acid_sample.met</v>
      </c>
      <c r="F238" t="str">
        <f>"C:\TOC3201\CalCurves\Itamar\N_cal_25ppm_acid_laurel.2019_08_21_15_23_49.cal"</f>
        <v>C:\TOC3201\CalCurves\Itamar\N_cal_25ppm_acid_laurel.2019_08_21_15_23_49.cal</v>
      </c>
      <c r="G238">
        <v>1</v>
      </c>
      <c r="H238" t="str">
        <f>""</f>
        <v/>
      </c>
      <c r="I238" t="str">
        <f>"8/22/2019 1:48:55 AM"</f>
        <v>8/22/2019 1:48:55 AM</v>
      </c>
      <c r="J238" t="str">
        <f>"1"</f>
        <v>1</v>
      </c>
      <c r="K238" t="str">
        <f>"2"</f>
        <v>2</v>
      </c>
      <c r="L238" t="str">
        <f>"TN"</f>
        <v>TN</v>
      </c>
      <c r="M238" t="str">
        <f>"23.31"</f>
        <v>23.31</v>
      </c>
      <c r="N238" t="str">
        <f>"6.548"</f>
        <v>6.548</v>
      </c>
      <c r="O238" t="str">
        <f>"NPOC:56.27mg/L TN:7.113mg/L"</f>
        <v>NPOC:56.27mg/L TN:7.113mg/L</v>
      </c>
      <c r="P238">
        <v>1</v>
      </c>
      <c r="Q238" t="str">
        <f>"80"</f>
        <v>80</v>
      </c>
    </row>
    <row r="239" spans="1:17" x14ac:dyDescent="0.2">
      <c r="A239" t="str">
        <f>"Unknown"</f>
        <v>Unknown</v>
      </c>
      <c r="B239" t="str">
        <f>"NPOC/TN"</f>
        <v>NPOC/TN</v>
      </c>
      <c r="C239" t="str">
        <f>"1140"</f>
        <v>1140</v>
      </c>
      <c r="D239" t="str">
        <f>"DI"</f>
        <v>DI</v>
      </c>
      <c r="E239" t="str">
        <f>"C:\TOC3201\Methods\Itamar\acid_sample.met"</f>
        <v>C:\TOC3201\Methods\Itamar\acid_sample.met</v>
      </c>
      <c r="F239" t="str">
        <f>"C:\TOC3201\CalCurves\Itamar\N_cal_25ppm_acid_laurel.2019_08_21_15_23_49.cal"</f>
        <v>C:\TOC3201\CalCurves\Itamar\N_cal_25ppm_acid_laurel.2019_08_21_15_23_49.cal</v>
      </c>
      <c r="G239">
        <v>1</v>
      </c>
      <c r="H239" t="str">
        <f>""</f>
        <v/>
      </c>
      <c r="I239" t="str">
        <f>"8/22/2019 1:53:14 AM"</f>
        <v>8/22/2019 1:53:14 AM</v>
      </c>
      <c r="J239" t="str">
        <f>"1"</f>
        <v>1</v>
      </c>
      <c r="K239" t="str">
        <f>"3"</f>
        <v>3</v>
      </c>
      <c r="L239" t="str">
        <f>"TN"</f>
        <v>TN</v>
      </c>
      <c r="M239" t="str">
        <f>"25.66"</f>
        <v>25.66</v>
      </c>
      <c r="N239" t="str">
        <f>"7.192"</f>
        <v>7.192</v>
      </c>
      <c r="O239" t="str">
        <f>"NPOC:56.27mg/L TN:7.113mg/L"</f>
        <v>NPOC:56.27mg/L TN:7.113mg/L</v>
      </c>
      <c r="P239">
        <v>0</v>
      </c>
      <c r="Q239" t="str">
        <f>"80"</f>
        <v>80</v>
      </c>
    </row>
    <row r="240" spans="1:17" x14ac:dyDescent="0.2">
      <c r="A240" t="str">
        <f>"Unknown"</f>
        <v>Unknown</v>
      </c>
      <c r="B240" t="str">
        <f>"NPOC/TN"</f>
        <v>NPOC/TN</v>
      </c>
      <c r="C240" t="str">
        <f>"1140"</f>
        <v>1140</v>
      </c>
      <c r="D240" t="str">
        <f>"DI"</f>
        <v>DI</v>
      </c>
      <c r="E240" t="str">
        <f>"C:\TOC3201\Methods\Itamar\acid_sample.met"</f>
        <v>C:\TOC3201\Methods\Itamar\acid_sample.met</v>
      </c>
      <c r="F240" t="str">
        <f>"C:\TOC3201\CalCurves\Itamar\N_cal_25ppm_acid_laurel.2019_08_21_15_23_49.cal"</f>
        <v>C:\TOC3201\CalCurves\Itamar\N_cal_25ppm_acid_laurel.2019_08_21_15_23_49.cal</v>
      </c>
      <c r="G240">
        <v>1</v>
      </c>
      <c r="H240" t="str">
        <f>""</f>
        <v/>
      </c>
      <c r="I240" t="str">
        <f>"8/22/2019 1:57:27 AM"</f>
        <v>8/22/2019 1:57:27 AM</v>
      </c>
      <c r="J240" t="str">
        <f>"1"</f>
        <v>1</v>
      </c>
      <c r="K240" t="str">
        <f>"4"</f>
        <v>4</v>
      </c>
      <c r="L240" t="str">
        <f>"TN"</f>
        <v>TN</v>
      </c>
      <c r="M240" t="str">
        <f>"24.70"</f>
        <v>24.70</v>
      </c>
      <c r="N240" t="str">
        <f>"6.929"</f>
        <v>6.929</v>
      </c>
      <c r="O240" t="str">
        <f>"NPOC:56.27mg/L TN:7.113mg/L"</f>
        <v>NPOC:56.27mg/L TN:7.113mg/L</v>
      </c>
      <c r="P240">
        <v>0</v>
      </c>
      <c r="Q240" t="str">
        <f>"80"</f>
        <v>80</v>
      </c>
    </row>
    <row r="241" spans="1:17" x14ac:dyDescent="0.2">
      <c r="A241" t="str">
        <f>"Unknown"</f>
        <v>Unknown</v>
      </c>
      <c r="B241" t="str">
        <f>"NPOC/TN"</f>
        <v>NPOC/TN</v>
      </c>
      <c r="C241" t="str">
        <f>"1140"</f>
        <v>1140</v>
      </c>
      <c r="D241" t="str">
        <f>"DI"</f>
        <v>DI</v>
      </c>
      <c r="E241" t="str">
        <f>"C:\TOC3201\Methods\Itamar\acid_sample.met"</f>
        <v>C:\TOC3201\Methods\Itamar\acid_sample.met</v>
      </c>
      <c r="F241" t="str">
        <f>"C:\TOC3201\CalCurves\Itamar\N_cal_25ppm_acid_laurel.2019_08_21_15_23_49.cal"</f>
        <v>C:\TOC3201\CalCurves\Itamar\N_cal_25ppm_acid_laurel.2019_08_21_15_23_49.cal</v>
      </c>
      <c r="G241">
        <v>1</v>
      </c>
      <c r="H241" t="str">
        <f>""</f>
        <v/>
      </c>
      <c r="I241" t="str">
        <f>"8/22/2019 2:01:05 AM"</f>
        <v>8/22/2019 2:01:05 AM</v>
      </c>
      <c r="J241" t="str">
        <f>"1"</f>
        <v>1</v>
      </c>
      <c r="K241" t="str">
        <f>"5"</f>
        <v>5</v>
      </c>
      <c r="L241" t="str">
        <f>"TN"</f>
        <v>TN</v>
      </c>
      <c r="M241" t="str">
        <f>"23.91"</f>
        <v>23.91</v>
      </c>
      <c r="N241" t="str">
        <f>"6.712"</f>
        <v>6.712</v>
      </c>
      <c r="O241" t="str">
        <f>"NPOC:56.27mg/L TN:7.113mg/L"</f>
        <v>NPOC:56.27mg/L TN:7.113mg/L</v>
      </c>
      <c r="P241">
        <v>1</v>
      </c>
      <c r="Q241" t="str">
        <f>"80"</f>
        <v>80</v>
      </c>
    </row>
    <row r="242" spans="1:17" x14ac:dyDescent="0.2">
      <c r="A242" t="str">
        <f>"Unknown"</f>
        <v>Unknown</v>
      </c>
      <c r="B242" t="str">
        <f>"NPOC/TN"</f>
        <v>NPOC/TN</v>
      </c>
      <c r="C242" t="str">
        <f>"1142"</f>
        <v>1142</v>
      </c>
      <c r="D242" t="str">
        <f>"DI"</f>
        <v>DI</v>
      </c>
      <c r="E242" t="str">
        <f>"C:\TOC3201\Methods\Itamar\acid_sample.met"</f>
        <v>C:\TOC3201\Methods\Itamar\acid_sample.met</v>
      </c>
      <c r="F242" t="str">
        <f>"C:\TOC3201\CalCurves\Itamar\C_cal_100ppm_acid_laurel.2019_08_21_13_17_46.cal"</f>
        <v>C:\TOC3201\CalCurves\Itamar\C_cal_100ppm_acid_laurel.2019_08_21_13_17_46.cal</v>
      </c>
      <c r="G242">
        <v>1</v>
      </c>
      <c r="H242" t="str">
        <f>""</f>
        <v/>
      </c>
      <c r="I242" t="str">
        <f>"8/22/2019 2:11:10 AM"</f>
        <v>8/22/2019 2:11:10 AM</v>
      </c>
      <c r="J242" t="str">
        <f>"1"</f>
        <v>1</v>
      </c>
      <c r="K242" t="str">
        <f>"1"</f>
        <v>1</v>
      </c>
      <c r="L242" t="str">
        <f>"NPOC"</f>
        <v>NPOC</v>
      </c>
      <c r="M242" t="str">
        <f>"57.25"</f>
        <v>57.25</v>
      </c>
      <c r="N242" t="str">
        <f>"11.38"</f>
        <v>11.38</v>
      </c>
      <c r="O242" t="str">
        <f>"NPOC:11.34mg/L TN:1.098mg/L"</f>
        <v>NPOC:11.34mg/L TN:1.098mg/L</v>
      </c>
      <c r="P242">
        <v>0</v>
      </c>
      <c r="Q242" t="str">
        <f>"80"</f>
        <v>80</v>
      </c>
    </row>
    <row r="243" spans="1:17" x14ac:dyDescent="0.2">
      <c r="A243" t="str">
        <f>"Unknown"</f>
        <v>Unknown</v>
      </c>
      <c r="B243" t="str">
        <f>"NPOC/TN"</f>
        <v>NPOC/TN</v>
      </c>
      <c r="C243" t="str">
        <f>"1142"</f>
        <v>1142</v>
      </c>
      <c r="D243" t="str">
        <f>"DI"</f>
        <v>DI</v>
      </c>
      <c r="E243" t="str">
        <f>"C:\TOC3201\Methods\Itamar\acid_sample.met"</f>
        <v>C:\TOC3201\Methods\Itamar\acid_sample.met</v>
      </c>
      <c r="F243" t="str">
        <f>"C:\TOC3201\CalCurves\Itamar\C_cal_100ppm_acid_laurel.2019_08_21_13_17_46.cal"</f>
        <v>C:\TOC3201\CalCurves\Itamar\C_cal_100ppm_acid_laurel.2019_08_21_13_17_46.cal</v>
      </c>
      <c r="G243">
        <v>1</v>
      </c>
      <c r="H243" t="str">
        <f>""</f>
        <v/>
      </c>
      <c r="I243" t="str">
        <f>"8/22/2019 2:14:43 AM"</f>
        <v>8/22/2019 2:14:43 AM</v>
      </c>
      <c r="J243" t="str">
        <f>"1"</f>
        <v>1</v>
      </c>
      <c r="K243" t="str">
        <f>"2"</f>
        <v>2</v>
      </c>
      <c r="L243" t="str">
        <f>"NPOC"</f>
        <v>NPOC</v>
      </c>
      <c r="M243" t="str">
        <f>"56.65"</f>
        <v>56.65</v>
      </c>
      <c r="N243" t="str">
        <f>"11.26"</f>
        <v>11.26</v>
      </c>
      <c r="O243" t="str">
        <f>"NPOC:11.34mg/L TN:1.098mg/L"</f>
        <v>NPOC:11.34mg/L TN:1.098mg/L</v>
      </c>
      <c r="P243">
        <v>0</v>
      </c>
      <c r="Q243" t="str">
        <f>"80"</f>
        <v>80</v>
      </c>
    </row>
    <row r="244" spans="1:17" x14ac:dyDescent="0.2">
      <c r="A244" t="str">
        <f>"Unknown"</f>
        <v>Unknown</v>
      </c>
      <c r="B244" t="str">
        <f>"NPOC/TN"</f>
        <v>NPOC/TN</v>
      </c>
      <c r="C244" t="str">
        <f>"1142"</f>
        <v>1142</v>
      </c>
      <c r="D244" t="str">
        <f>"DI"</f>
        <v>DI</v>
      </c>
      <c r="E244" t="str">
        <f>"C:\TOC3201\Methods\Itamar\acid_sample.met"</f>
        <v>C:\TOC3201\Methods\Itamar\acid_sample.met</v>
      </c>
      <c r="F244" t="str">
        <f>"C:\TOC3201\CalCurves\Itamar\C_cal_100ppm_acid_laurel.2019_08_21_13_17_46.cal"</f>
        <v>C:\TOC3201\CalCurves\Itamar\C_cal_100ppm_acid_laurel.2019_08_21_13_17_46.cal</v>
      </c>
      <c r="G244">
        <v>1</v>
      </c>
      <c r="H244" t="str">
        <f>""</f>
        <v/>
      </c>
      <c r="I244" t="str">
        <f>"8/22/2019 2:18:55 AM"</f>
        <v>8/22/2019 2:18:55 AM</v>
      </c>
      <c r="J244" t="str">
        <f>"1"</f>
        <v>1</v>
      </c>
      <c r="K244" t="str">
        <f>"3"</f>
        <v>3</v>
      </c>
      <c r="L244" t="str">
        <f>"NPOC"</f>
        <v>NPOC</v>
      </c>
      <c r="M244" t="str">
        <f>"60.56"</f>
        <v>60.56</v>
      </c>
      <c r="N244" t="str">
        <f>"12.06"</f>
        <v>12.06</v>
      </c>
      <c r="O244" t="str">
        <f>"NPOC:11.34mg/L TN:1.098mg/L"</f>
        <v>NPOC:11.34mg/L TN:1.098mg/L</v>
      </c>
      <c r="P244">
        <v>1</v>
      </c>
      <c r="Q244" t="str">
        <f>"80"</f>
        <v>80</v>
      </c>
    </row>
    <row r="245" spans="1:17" x14ac:dyDescent="0.2">
      <c r="A245" t="str">
        <f>"Unknown"</f>
        <v>Unknown</v>
      </c>
      <c r="B245" t="str">
        <f>"NPOC/TN"</f>
        <v>NPOC/TN</v>
      </c>
      <c r="C245" t="str">
        <f>"1142"</f>
        <v>1142</v>
      </c>
      <c r="D245" t="str">
        <f>"DI"</f>
        <v>DI</v>
      </c>
      <c r="E245" t="str">
        <f>"C:\TOC3201\Methods\Itamar\acid_sample.met"</f>
        <v>C:\TOC3201\Methods\Itamar\acid_sample.met</v>
      </c>
      <c r="F245" t="str">
        <f>"C:\TOC3201\CalCurves\Itamar\C_cal_100ppm_acid_laurel.2019_08_21_13_17_46.cal"</f>
        <v>C:\TOC3201\CalCurves\Itamar\C_cal_100ppm_acid_laurel.2019_08_21_13_17_46.cal</v>
      </c>
      <c r="G245">
        <v>1</v>
      </c>
      <c r="H245" t="str">
        <f>""</f>
        <v/>
      </c>
      <c r="I245" t="str">
        <f>"8/22/2019 2:22:27 AM"</f>
        <v>8/22/2019 2:22:27 AM</v>
      </c>
      <c r="J245" t="str">
        <f>"1"</f>
        <v>1</v>
      </c>
      <c r="K245" t="str">
        <f>"4"</f>
        <v>4</v>
      </c>
      <c r="L245" t="str">
        <f>"NPOC"</f>
        <v>NPOC</v>
      </c>
      <c r="M245" t="str">
        <f>"58.97"</f>
        <v>58.97</v>
      </c>
      <c r="N245" t="str">
        <f>"11.73"</f>
        <v>11.73</v>
      </c>
      <c r="O245" t="str">
        <f>"NPOC:11.34mg/L TN:1.098mg/L"</f>
        <v>NPOC:11.34mg/L TN:1.098mg/L</v>
      </c>
      <c r="P245">
        <v>1</v>
      </c>
      <c r="Q245" t="str">
        <f>"80"</f>
        <v>80</v>
      </c>
    </row>
    <row r="246" spans="1:17" x14ac:dyDescent="0.2">
      <c r="A246" t="str">
        <f>"Unknown"</f>
        <v>Unknown</v>
      </c>
      <c r="B246" t="str">
        <f>"NPOC/TN"</f>
        <v>NPOC/TN</v>
      </c>
      <c r="C246" t="str">
        <f>"1142"</f>
        <v>1142</v>
      </c>
      <c r="D246" t="str">
        <f>"DI"</f>
        <v>DI</v>
      </c>
      <c r="E246" t="str">
        <f>"C:\TOC3201\Methods\Itamar\acid_sample.met"</f>
        <v>C:\TOC3201\Methods\Itamar\acid_sample.met</v>
      </c>
      <c r="F246" t="str">
        <f>"C:\TOC3201\CalCurves\Itamar\C_cal_100ppm_acid_laurel.2019_08_21_13_17_46.cal"</f>
        <v>C:\TOC3201\CalCurves\Itamar\C_cal_100ppm_acid_laurel.2019_08_21_13_17_46.cal</v>
      </c>
      <c r="G246">
        <v>1</v>
      </c>
      <c r="H246" t="str">
        <f>""</f>
        <v/>
      </c>
      <c r="I246" t="str">
        <f>"8/22/2019 2:26:15 AM"</f>
        <v>8/22/2019 2:26:15 AM</v>
      </c>
      <c r="J246" t="str">
        <f>"1"</f>
        <v>1</v>
      </c>
      <c r="K246" t="str">
        <f>"5"</f>
        <v>5</v>
      </c>
      <c r="L246" t="str">
        <f>"NPOC"</f>
        <v>NPOC</v>
      </c>
      <c r="M246" t="str">
        <f>"57.20"</f>
        <v>57.20</v>
      </c>
      <c r="N246" t="str">
        <f>"11.37"</f>
        <v>11.37</v>
      </c>
      <c r="O246" t="str">
        <f>"NPOC:11.34mg/L TN:1.098mg/L"</f>
        <v>NPOC:11.34mg/L TN:1.098mg/L</v>
      </c>
      <c r="P246">
        <v>0</v>
      </c>
      <c r="Q246" t="str">
        <f>"80"</f>
        <v>80</v>
      </c>
    </row>
    <row r="247" spans="1:17" x14ac:dyDescent="0.2">
      <c r="A247" t="str">
        <f>"Unknown"</f>
        <v>Unknown</v>
      </c>
      <c r="B247" t="str">
        <f>"NPOC/TN"</f>
        <v>NPOC/TN</v>
      </c>
      <c r="C247" t="str">
        <f>"1142"</f>
        <v>1142</v>
      </c>
      <c r="D247" t="str">
        <f>"DI"</f>
        <v>DI</v>
      </c>
      <c r="E247" t="str">
        <f>"C:\TOC3201\Methods\Itamar\acid_sample.met"</f>
        <v>C:\TOC3201\Methods\Itamar\acid_sample.met</v>
      </c>
      <c r="F247" t="str">
        <f>"C:\TOC3201\CalCurves\Itamar\N_cal_25ppm_acid_laurel.2019_08_21_15_23_49.cal"</f>
        <v>C:\TOC3201\CalCurves\Itamar\N_cal_25ppm_acid_laurel.2019_08_21_15_23_49.cal</v>
      </c>
      <c r="G247">
        <v>1</v>
      </c>
      <c r="H247" t="str">
        <f>""</f>
        <v/>
      </c>
      <c r="I247" t="str">
        <f>"8/22/2019 2:11:10 AM"</f>
        <v>8/22/2019 2:11:10 AM</v>
      </c>
      <c r="J247" t="str">
        <f>"1"</f>
        <v>1</v>
      </c>
      <c r="K247" t="str">
        <f>"1"</f>
        <v>1</v>
      </c>
      <c r="L247" t="str">
        <f>"TN"</f>
        <v>TN</v>
      </c>
      <c r="M247" t="str">
        <f>"3.375"</f>
        <v>3.375</v>
      </c>
      <c r="N247" t="str">
        <f>"1.080"</f>
        <v>1.080</v>
      </c>
      <c r="O247" t="str">
        <f>"NPOC:11.34mg/L TN:1.098mg/L"</f>
        <v>NPOC:11.34mg/L TN:1.098mg/L</v>
      </c>
      <c r="P247">
        <v>0</v>
      </c>
      <c r="Q247" t="str">
        <f>"80"</f>
        <v>80</v>
      </c>
    </row>
    <row r="248" spans="1:17" x14ac:dyDescent="0.2">
      <c r="A248" t="str">
        <f>"Unknown"</f>
        <v>Unknown</v>
      </c>
      <c r="B248" t="str">
        <f>"NPOC/TN"</f>
        <v>NPOC/TN</v>
      </c>
      <c r="C248" t="str">
        <f>"1142"</f>
        <v>1142</v>
      </c>
      <c r="D248" t="str">
        <f>"DI"</f>
        <v>DI</v>
      </c>
      <c r="E248" t="str">
        <f>"C:\TOC3201\Methods\Itamar\acid_sample.met"</f>
        <v>C:\TOC3201\Methods\Itamar\acid_sample.met</v>
      </c>
      <c r="F248" t="str">
        <f>"C:\TOC3201\CalCurves\Itamar\N_cal_25ppm_acid_laurel.2019_08_21_15_23_49.cal"</f>
        <v>C:\TOC3201\CalCurves\Itamar\N_cal_25ppm_acid_laurel.2019_08_21_15_23_49.cal</v>
      </c>
      <c r="G248">
        <v>1</v>
      </c>
      <c r="H248" t="str">
        <f>""</f>
        <v/>
      </c>
      <c r="I248" t="str">
        <f>"8/22/2019 2:14:43 AM"</f>
        <v>8/22/2019 2:14:43 AM</v>
      </c>
      <c r="J248" t="str">
        <f>"1"</f>
        <v>1</v>
      </c>
      <c r="K248" t="str">
        <f>"2"</f>
        <v>2</v>
      </c>
      <c r="L248" t="str">
        <f>"TN"</f>
        <v>TN</v>
      </c>
      <c r="M248" t="str">
        <f>"2.953"</f>
        <v>2.953</v>
      </c>
      <c r="N248" t="str">
        <f>"0.9643"</f>
        <v>0.9643</v>
      </c>
      <c r="O248" t="str">
        <f>"NPOC:11.34mg/L TN:1.098mg/L"</f>
        <v>NPOC:11.34mg/L TN:1.098mg/L</v>
      </c>
      <c r="P248">
        <v>1</v>
      </c>
      <c r="Q248" t="str">
        <f>"80"</f>
        <v>80</v>
      </c>
    </row>
    <row r="249" spans="1:17" x14ac:dyDescent="0.2">
      <c r="A249" t="str">
        <f>"Unknown"</f>
        <v>Unknown</v>
      </c>
      <c r="B249" t="str">
        <f>"NPOC/TN"</f>
        <v>NPOC/TN</v>
      </c>
      <c r="C249" t="str">
        <f>"1142"</f>
        <v>1142</v>
      </c>
      <c r="D249" t="str">
        <f>"DI"</f>
        <v>DI</v>
      </c>
      <c r="E249" t="str">
        <f>"C:\TOC3201\Methods\Itamar\acid_sample.met"</f>
        <v>C:\TOC3201\Methods\Itamar\acid_sample.met</v>
      </c>
      <c r="F249" t="str">
        <f>"C:\TOC3201\CalCurves\Itamar\N_cal_25ppm_acid_laurel.2019_08_21_15_23_49.cal"</f>
        <v>C:\TOC3201\CalCurves\Itamar\N_cal_25ppm_acid_laurel.2019_08_21_15_23_49.cal</v>
      </c>
      <c r="G249">
        <v>1</v>
      </c>
      <c r="H249" t="str">
        <f>""</f>
        <v/>
      </c>
      <c r="I249" t="str">
        <f>"8/22/2019 2:18:55 AM"</f>
        <v>8/22/2019 2:18:55 AM</v>
      </c>
      <c r="J249" t="str">
        <f>"1"</f>
        <v>1</v>
      </c>
      <c r="K249" t="str">
        <f>"3"</f>
        <v>3</v>
      </c>
      <c r="L249" t="str">
        <f>"TN"</f>
        <v>TN</v>
      </c>
      <c r="M249" t="str">
        <f>"4.653"</f>
        <v>4.653</v>
      </c>
      <c r="N249" t="str">
        <f>"1.431"</f>
        <v>1.431</v>
      </c>
      <c r="O249" t="str">
        <f>"NPOC:11.34mg/L TN:1.098mg/L"</f>
        <v>NPOC:11.34mg/L TN:1.098mg/L</v>
      </c>
      <c r="P249">
        <v>1</v>
      </c>
      <c r="Q249" t="str">
        <f>"80"</f>
        <v>80</v>
      </c>
    </row>
    <row r="250" spans="1:17" x14ac:dyDescent="0.2">
      <c r="A250" t="str">
        <f>"Unknown"</f>
        <v>Unknown</v>
      </c>
      <c r="B250" t="str">
        <f>"NPOC/TN"</f>
        <v>NPOC/TN</v>
      </c>
      <c r="C250" t="str">
        <f>"1142"</f>
        <v>1142</v>
      </c>
      <c r="D250" t="str">
        <f>"DI"</f>
        <v>DI</v>
      </c>
      <c r="E250" t="str">
        <f>"C:\TOC3201\Methods\Itamar\acid_sample.met"</f>
        <v>C:\TOC3201\Methods\Itamar\acid_sample.met</v>
      </c>
      <c r="F250" t="str">
        <f>"C:\TOC3201\CalCurves\Itamar\N_cal_25ppm_acid_laurel.2019_08_21_15_23_49.cal"</f>
        <v>C:\TOC3201\CalCurves\Itamar\N_cal_25ppm_acid_laurel.2019_08_21_15_23_49.cal</v>
      </c>
      <c r="G250">
        <v>1</v>
      </c>
      <c r="H250" t="str">
        <f>""</f>
        <v/>
      </c>
      <c r="I250" t="str">
        <f>"8/22/2019 2:22:27 AM"</f>
        <v>8/22/2019 2:22:27 AM</v>
      </c>
      <c r="J250" t="str">
        <f>"1"</f>
        <v>1</v>
      </c>
      <c r="K250" t="str">
        <f>"4"</f>
        <v>4</v>
      </c>
      <c r="L250" t="str">
        <f>"TN"</f>
        <v>TN</v>
      </c>
      <c r="M250" t="str">
        <f>"3.495"</f>
        <v>3.495</v>
      </c>
      <c r="N250" t="str">
        <f>"1.113"</f>
        <v>1.113</v>
      </c>
      <c r="O250" t="str">
        <f>"NPOC:11.34mg/L TN:1.098mg/L"</f>
        <v>NPOC:11.34mg/L TN:1.098mg/L</v>
      </c>
      <c r="P250">
        <v>0</v>
      </c>
      <c r="Q250" t="str">
        <f>"80"</f>
        <v>80</v>
      </c>
    </row>
    <row r="251" spans="1:17" x14ac:dyDescent="0.2">
      <c r="A251" t="str">
        <f>"Unknown"</f>
        <v>Unknown</v>
      </c>
      <c r="B251" t="str">
        <f>"NPOC/TN"</f>
        <v>NPOC/TN</v>
      </c>
      <c r="C251" t="str">
        <f>"1142"</f>
        <v>1142</v>
      </c>
      <c r="D251" t="str">
        <f>"DI"</f>
        <v>DI</v>
      </c>
      <c r="E251" t="str">
        <f>"C:\TOC3201\Methods\Itamar\acid_sample.met"</f>
        <v>C:\TOC3201\Methods\Itamar\acid_sample.met</v>
      </c>
      <c r="F251" t="str">
        <f>"C:\TOC3201\CalCurves\Itamar\N_cal_25ppm_acid_laurel.2019_08_21_15_23_49.cal"</f>
        <v>C:\TOC3201\CalCurves\Itamar\N_cal_25ppm_acid_laurel.2019_08_21_15_23_49.cal</v>
      </c>
      <c r="G251">
        <v>1</v>
      </c>
      <c r="H251" t="str">
        <f>""</f>
        <v/>
      </c>
      <c r="I251" t="str">
        <f>"8/22/2019 2:26:15 AM"</f>
        <v>8/22/2019 2:26:15 AM</v>
      </c>
      <c r="J251" t="str">
        <f>"1"</f>
        <v>1</v>
      </c>
      <c r="K251" t="str">
        <f>"5"</f>
        <v>5</v>
      </c>
      <c r="L251" t="str">
        <f>"TN"</f>
        <v>TN</v>
      </c>
      <c r="M251" t="str">
        <f>"3.451"</f>
        <v>3.451</v>
      </c>
      <c r="N251" t="str">
        <f>"1.101"</f>
        <v>1.101</v>
      </c>
      <c r="O251" t="str">
        <f>"NPOC:11.34mg/L TN:1.098mg/L"</f>
        <v>NPOC:11.34mg/L TN:1.098mg/L</v>
      </c>
      <c r="P251">
        <v>0</v>
      </c>
      <c r="Q251" t="str">
        <f>"80"</f>
        <v>80</v>
      </c>
    </row>
    <row r="252" spans="1:17" x14ac:dyDescent="0.2">
      <c r="A252" t="str">
        <f>"Unknown"</f>
        <v>Unknown</v>
      </c>
      <c r="B252" t="str">
        <f>"NPOC/TN"</f>
        <v>NPOC/TN</v>
      </c>
      <c r="C252" t="str">
        <f>"1144"</f>
        <v>1144</v>
      </c>
      <c r="D252" t="str">
        <f>"DI"</f>
        <v>DI</v>
      </c>
      <c r="E252" t="str">
        <f>"C:\TOC3201\Methods\Itamar\acid_sample.met"</f>
        <v>C:\TOC3201\Methods\Itamar\acid_sample.met</v>
      </c>
      <c r="F252" t="str">
        <f>"C:\TOC3201\CalCurves\Itamar\C_cal_100ppm_acid_laurel.2019_08_21_13_17_46.cal"</f>
        <v>C:\TOC3201\CalCurves\Itamar\C_cal_100ppm_acid_laurel.2019_08_21_13_17_46.cal</v>
      </c>
      <c r="G252">
        <v>1</v>
      </c>
      <c r="H252" t="str">
        <f>""</f>
        <v/>
      </c>
      <c r="I252" t="str">
        <f>"8/22/2019 2:36:18 AM"</f>
        <v>8/22/2019 2:36:18 AM</v>
      </c>
      <c r="J252" t="str">
        <f>"1"</f>
        <v>1</v>
      </c>
      <c r="K252" t="str">
        <f>"1"</f>
        <v>1</v>
      </c>
      <c r="L252" t="str">
        <f>"NPOC"</f>
        <v>NPOC</v>
      </c>
      <c r="M252" t="str">
        <f>"55.29"</f>
        <v>55.29</v>
      </c>
      <c r="N252" t="str">
        <f>"10.98"</f>
        <v>10.98</v>
      </c>
      <c r="O252" t="str">
        <f>"NPOC:10.95mg/L TN:1.026mg/L"</f>
        <v>NPOC:10.95mg/L TN:1.026mg/L</v>
      </c>
      <c r="P252">
        <v>0</v>
      </c>
      <c r="Q252" t="str">
        <f>"80"</f>
        <v>80</v>
      </c>
    </row>
    <row r="253" spans="1:17" x14ac:dyDescent="0.2">
      <c r="A253" t="str">
        <f>"Unknown"</f>
        <v>Unknown</v>
      </c>
      <c r="B253" t="str">
        <f>"NPOC/TN"</f>
        <v>NPOC/TN</v>
      </c>
      <c r="C253" t="str">
        <f>"1144"</f>
        <v>1144</v>
      </c>
      <c r="D253" t="str">
        <f>"DI"</f>
        <v>DI</v>
      </c>
      <c r="E253" t="str">
        <f>"C:\TOC3201\Methods\Itamar\acid_sample.met"</f>
        <v>C:\TOC3201\Methods\Itamar\acid_sample.met</v>
      </c>
      <c r="F253" t="str">
        <f>"C:\TOC3201\CalCurves\Itamar\C_cal_100ppm_acid_laurel.2019_08_21_13_17_46.cal"</f>
        <v>C:\TOC3201\CalCurves\Itamar\C_cal_100ppm_acid_laurel.2019_08_21_13_17_46.cal</v>
      </c>
      <c r="G253">
        <v>1</v>
      </c>
      <c r="H253" t="str">
        <f>""</f>
        <v/>
      </c>
      <c r="I253" t="str">
        <f>"8/22/2019 2:39:52 AM"</f>
        <v>8/22/2019 2:39:52 AM</v>
      </c>
      <c r="J253" t="str">
        <f>"1"</f>
        <v>1</v>
      </c>
      <c r="K253" t="str">
        <f>"2"</f>
        <v>2</v>
      </c>
      <c r="L253" t="str">
        <f>"NPOC"</f>
        <v>NPOC</v>
      </c>
      <c r="M253" t="str">
        <f>"54.78"</f>
        <v>54.78</v>
      </c>
      <c r="N253" t="str">
        <f>"10.88"</f>
        <v>10.88</v>
      </c>
      <c r="O253" t="str">
        <f>"NPOC:10.95mg/L TN:1.026mg/L"</f>
        <v>NPOC:10.95mg/L TN:1.026mg/L</v>
      </c>
      <c r="P253">
        <v>0</v>
      </c>
      <c r="Q253" t="str">
        <f>"80"</f>
        <v>80</v>
      </c>
    </row>
    <row r="254" spans="1:17" x14ac:dyDescent="0.2">
      <c r="A254" t="str">
        <f>"Unknown"</f>
        <v>Unknown</v>
      </c>
      <c r="B254" t="str">
        <f>"NPOC/TN"</f>
        <v>NPOC/TN</v>
      </c>
      <c r="C254" t="str">
        <f>"1144"</f>
        <v>1144</v>
      </c>
      <c r="D254" t="str">
        <f>"DI"</f>
        <v>DI</v>
      </c>
      <c r="E254" t="str">
        <f>"C:\TOC3201\Methods\Itamar\acid_sample.met"</f>
        <v>C:\TOC3201\Methods\Itamar\acid_sample.met</v>
      </c>
      <c r="F254" t="str">
        <f>"C:\TOC3201\CalCurves\Itamar\C_cal_100ppm_acid_laurel.2019_08_21_13_17_46.cal"</f>
        <v>C:\TOC3201\CalCurves\Itamar\C_cal_100ppm_acid_laurel.2019_08_21_13_17_46.cal</v>
      </c>
      <c r="G254">
        <v>1</v>
      </c>
      <c r="H254" t="str">
        <f>""</f>
        <v/>
      </c>
      <c r="I254" t="str">
        <f>"8/22/2019 2:43:30 AM"</f>
        <v>8/22/2019 2:43:30 AM</v>
      </c>
      <c r="J254" t="str">
        <f>"1"</f>
        <v>1</v>
      </c>
      <c r="K254" t="str">
        <f>"3"</f>
        <v>3</v>
      </c>
      <c r="L254" t="str">
        <f>"NPOC"</f>
        <v>NPOC</v>
      </c>
      <c r="M254" t="str">
        <f>"58.71"</f>
        <v>58.71</v>
      </c>
      <c r="N254" t="str">
        <f>"11.68"</f>
        <v>11.68</v>
      </c>
      <c r="O254" t="str">
        <f>"NPOC:10.95mg/L TN:1.026mg/L"</f>
        <v>NPOC:10.95mg/L TN:1.026mg/L</v>
      </c>
      <c r="P254">
        <v>1</v>
      </c>
      <c r="Q254" t="str">
        <f>"80"</f>
        <v>80</v>
      </c>
    </row>
    <row r="255" spans="1:17" x14ac:dyDescent="0.2">
      <c r="A255" t="str">
        <f>"Unknown"</f>
        <v>Unknown</v>
      </c>
      <c r="B255" t="str">
        <f>"NPOC/TN"</f>
        <v>NPOC/TN</v>
      </c>
      <c r="C255" t="str">
        <f>"1144"</f>
        <v>1144</v>
      </c>
      <c r="D255" t="str">
        <f>"DI"</f>
        <v>DI</v>
      </c>
      <c r="E255" t="str">
        <f>"C:\TOC3201\Methods\Itamar\acid_sample.met"</f>
        <v>C:\TOC3201\Methods\Itamar\acid_sample.met</v>
      </c>
      <c r="F255" t="str">
        <f>"C:\TOC3201\CalCurves\Itamar\C_cal_100ppm_acid_laurel.2019_08_21_13_17_46.cal"</f>
        <v>C:\TOC3201\CalCurves\Itamar\C_cal_100ppm_acid_laurel.2019_08_21_13_17_46.cal</v>
      </c>
      <c r="G255">
        <v>1</v>
      </c>
      <c r="H255" t="str">
        <f>""</f>
        <v/>
      </c>
      <c r="I255" t="str">
        <f>"8/22/2019 2:47:11 AM"</f>
        <v>8/22/2019 2:47:11 AM</v>
      </c>
      <c r="J255" t="str">
        <f>"1"</f>
        <v>1</v>
      </c>
      <c r="K255" t="str">
        <f>"4"</f>
        <v>4</v>
      </c>
      <c r="L255" t="str">
        <f>"NPOC"</f>
        <v>NPOC</v>
      </c>
      <c r="M255" t="str">
        <f>"57.79"</f>
        <v>57.79</v>
      </c>
      <c r="N255" t="str">
        <f>"11.49"</f>
        <v>11.49</v>
      </c>
      <c r="O255" t="str">
        <f>"NPOC:10.95mg/L TN:1.026mg/L"</f>
        <v>NPOC:10.95mg/L TN:1.026mg/L</v>
      </c>
      <c r="P255">
        <v>1</v>
      </c>
      <c r="Q255" t="str">
        <f>"80"</f>
        <v>80</v>
      </c>
    </row>
    <row r="256" spans="1:17" x14ac:dyDescent="0.2">
      <c r="A256" t="str">
        <f>"Unknown"</f>
        <v>Unknown</v>
      </c>
      <c r="B256" t="str">
        <f>"NPOC/TN"</f>
        <v>NPOC/TN</v>
      </c>
      <c r="C256" t="str">
        <f>"1144"</f>
        <v>1144</v>
      </c>
      <c r="D256" t="str">
        <f>"DI"</f>
        <v>DI</v>
      </c>
      <c r="E256" t="str">
        <f>"C:\TOC3201\Methods\Itamar\acid_sample.met"</f>
        <v>C:\TOC3201\Methods\Itamar\acid_sample.met</v>
      </c>
      <c r="F256" t="str">
        <f>"C:\TOC3201\CalCurves\Itamar\C_cal_100ppm_acid_laurel.2019_08_21_13_17_46.cal"</f>
        <v>C:\TOC3201\CalCurves\Itamar\C_cal_100ppm_acid_laurel.2019_08_21_13_17_46.cal</v>
      </c>
      <c r="G256">
        <v>1</v>
      </c>
      <c r="H256" t="str">
        <f>""</f>
        <v/>
      </c>
      <c r="I256" t="str">
        <f>"8/22/2019 2:50:48 AM"</f>
        <v>8/22/2019 2:50:48 AM</v>
      </c>
      <c r="J256" t="str">
        <f>"1"</f>
        <v>1</v>
      </c>
      <c r="K256" t="str">
        <f>"5"</f>
        <v>5</v>
      </c>
      <c r="L256" t="str">
        <f>"NPOC"</f>
        <v>NPOC</v>
      </c>
      <c r="M256" t="str">
        <f>"55.41"</f>
        <v>55.41</v>
      </c>
      <c r="N256" t="str">
        <f>"11.00"</f>
        <v>11.00</v>
      </c>
      <c r="O256" t="str">
        <f>"NPOC:10.95mg/L TN:1.026mg/L"</f>
        <v>NPOC:10.95mg/L TN:1.026mg/L</v>
      </c>
      <c r="P256">
        <v>0</v>
      </c>
      <c r="Q256" t="str">
        <f>"80"</f>
        <v>80</v>
      </c>
    </row>
    <row r="257" spans="1:17" x14ac:dyDescent="0.2">
      <c r="A257" t="str">
        <f>"Unknown"</f>
        <v>Unknown</v>
      </c>
      <c r="B257" t="str">
        <f>"NPOC/TN"</f>
        <v>NPOC/TN</v>
      </c>
      <c r="C257" t="str">
        <f>"1144"</f>
        <v>1144</v>
      </c>
      <c r="D257" t="str">
        <f>"DI"</f>
        <v>DI</v>
      </c>
      <c r="E257" t="str">
        <f>"C:\TOC3201\Methods\Itamar\acid_sample.met"</f>
        <v>C:\TOC3201\Methods\Itamar\acid_sample.met</v>
      </c>
      <c r="F257" t="str">
        <f>"C:\TOC3201\CalCurves\Itamar\N_cal_25ppm_acid_laurel.2019_08_21_15_23_49.cal"</f>
        <v>C:\TOC3201\CalCurves\Itamar\N_cal_25ppm_acid_laurel.2019_08_21_15_23_49.cal</v>
      </c>
      <c r="G257">
        <v>1</v>
      </c>
      <c r="H257" t="str">
        <f>""</f>
        <v/>
      </c>
      <c r="I257" t="str">
        <f>"8/22/2019 2:36:18 AM"</f>
        <v>8/22/2019 2:36:18 AM</v>
      </c>
      <c r="J257" t="str">
        <f>"1"</f>
        <v>1</v>
      </c>
      <c r="K257" t="str">
        <f>"1"</f>
        <v>1</v>
      </c>
      <c r="L257" t="str">
        <f>"TN"</f>
        <v>TN</v>
      </c>
      <c r="M257" t="str">
        <f>"3.676"</f>
        <v>3.676</v>
      </c>
      <c r="N257" t="str">
        <f>"1.163"</f>
        <v>1.163</v>
      </c>
      <c r="O257" t="str">
        <f>"NPOC:10.95mg/L TN:1.026mg/L"</f>
        <v>NPOC:10.95mg/L TN:1.026mg/L</v>
      </c>
      <c r="P257">
        <v>1</v>
      </c>
      <c r="Q257" t="str">
        <f>"80"</f>
        <v>80</v>
      </c>
    </row>
    <row r="258" spans="1:17" x14ac:dyDescent="0.2">
      <c r="A258" t="str">
        <f>"Unknown"</f>
        <v>Unknown</v>
      </c>
      <c r="B258" t="str">
        <f>"NPOC/TN"</f>
        <v>NPOC/TN</v>
      </c>
      <c r="C258" t="str">
        <f>"1144"</f>
        <v>1144</v>
      </c>
      <c r="D258" t="str">
        <f>"DI"</f>
        <v>DI</v>
      </c>
      <c r="E258" t="str">
        <f>"C:\TOC3201\Methods\Itamar\acid_sample.met"</f>
        <v>C:\TOC3201\Methods\Itamar\acid_sample.met</v>
      </c>
      <c r="F258" t="str">
        <f>"C:\TOC3201\CalCurves\Itamar\N_cal_25ppm_acid_laurel.2019_08_21_15_23_49.cal"</f>
        <v>C:\TOC3201\CalCurves\Itamar\N_cal_25ppm_acid_laurel.2019_08_21_15_23_49.cal</v>
      </c>
      <c r="G258">
        <v>1</v>
      </c>
      <c r="H258" t="str">
        <f>""</f>
        <v/>
      </c>
      <c r="I258" t="str">
        <f>"8/22/2019 2:39:52 AM"</f>
        <v>8/22/2019 2:39:52 AM</v>
      </c>
      <c r="J258" t="str">
        <f>"1"</f>
        <v>1</v>
      </c>
      <c r="K258" t="str">
        <f>"2"</f>
        <v>2</v>
      </c>
      <c r="L258" t="str">
        <f>"TN"</f>
        <v>TN</v>
      </c>
      <c r="M258" t="str">
        <f>"3.284"</f>
        <v>3.284</v>
      </c>
      <c r="N258" t="str">
        <f>"1.055"</f>
        <v>1.055</v>
      </c>
      <c r="O258" t="str">
        <f>"NPOC:10.95mg/L TN:1.026mg/L"</f>
        <v>NPOC:10.95mg/L TN:1.026mg/L</v>
      </c>
      <c r="P258">
        <v>0</v>
      </c>
      <c r="Q258" t="str">
        <f>"80"</f>
        <v>80</v>
      </c>
    </row>
    <row r="259" spans="1:17" x14ac:dyDescent="0.2">
      <c r="A259" t="str">
        <f>"Unknown"</f>
        <v>Unknown</v>
      </c>
      <c r="B259" t="str">
        <f>"NPOC/TN"</f>
        <v>NPOC/TN</v>
      </c>
      <c r="C259" t="str">
        <f>"1144"</f>
        <v>1144</v>
      </c>
      <c r="D259" t="str">
        <f>"DI"</f>
        <v>DI</v>
      </c>
      <c r="E259" t="str">
        <f>"C:\TOC3201\Methods\Itamar\acid_sample.met"</f>
        <v>C:\TOC3201\Methods\Itamar\acid_sample.met</v>
      </c>
      <c r="F259" t="str">
        <f>"C:\TOC3201\CalCurves\Itamar\N_cal_25ppm_acid_laurel.2019_08_21_15_23_49.cal"</f>
        <v>C:\TOC3201\CalCurves\Itamar\N_cal_25ppm_acid_laurel.2019_08_21_15_23_49.cal</v>
      </c>
      <c r="G259">
        <v>1</v>
      </c>
      <c r="H259" t="str">
        <f>""</f>
        <v/>
      </c>
      <c r="I259" t="str">
        <f>"8/22/2019 2:43:30 AM"</f>
        <v>8/22/2019 2:43:30 AM</v>
      </c>
      <c r="J259" t="str">
        <f>"1"</f>
        <v>1</v>
      </c>
      <c r="K259" t="str">
        <f>"3"</f>
        <v>3</v>
      </c>
      <c r="L259" t="str">
        <f>"TN"</f>
        <v>TN</v>
      </c>
      <c r="M259" t="str">
        <f>"3.945"</f>
        <v>3.945</v>
      </c>
      <c r="N259" t="str">
        <f>"1.236"</f>
        <v>1.236</v>
      </c>
      <c r="O259" t="str">
        <f>"NPOC:10.95mg/L TN:1.026mg/L"</f>
        <v>NPOC:10.95mg/L TN:1.026mg/L</v>
      </c>
      <c r="P259">
        <v>1</v>
      </c>
      <c r="Q259" t="str">
        <f>"80"</f>
        <v>80</v>
      </c>
    </row>
    <row r="260" spans="1:17" x14ac:dyDescent="0.2">
      <c r="A260" t="str">
        <f>"Unknown"</f>
        <v>Unknown</v>
      </c>
      <c r="B260" t="str">
        <f>"NPOC/TN"</f>
        <v>NPOC/TN</v>
      </c>
      <c r="C260" t="str">
        <f>"1144"</f>
        <v>1144</v>
      </c>
      <c r="D260" t="str">
        <f>"DI"</f>
        <v>DI</v>
      </c>
      <c r="E260" t="str">
        <f>"C:\TOC3201\Methods\Itamar\acid_sample.met"</f>
        <v>C:\TOC3201\Methods\Itamar\acid_sample.met</v>
      </c>
      <c r="F260" t="str">
        <f>"C:\TOC3201\CalCurves\Itamar\N_cal_25ppm_acid_laurel.2019_08_21_15_23_49.cal"</f>
        <v>C:\TOC3201\CalCurves\Itamar\N_cal_25ppm_acid_laurel.2019_08_21_15_23_49.cal</v>
      </c>
      <c r="G260">
        <v>1</v>
      </c>
      <c r="H260" t="str">
        <f>""</f>
        <v/>
      </c>
      <c r="I260" t="str">
        <f>"8/22/2019 2:47:11 AM"</f>
        <v>8/22/2019 2:47:11 AM</v>
      </c>
      <c r="J260" t="str">
        <f>"1"</f>
        <v>1</v>
      </c>
      <c r="K260" t="str">
        <f>"4"</f>
        <v>4</v>
      </c>
      <c r="L260" t="str">
        <f>"TN"</f>
        <v>TN</v>
      </c>
      <c r="M260" t="str">
        <f>"3.057"</f>
        <v>3.057</v>
      </c>
      <c r="N260" t="str">
        <f>"0.9928"</f>
        <v>0.9928</v>
      </c>
      <c r="O260" t="str">
        <f>"NPOC:10.95mg/L TN:1.026mg/L"</f>
        <v>NPOC:10.95mg/L TN:1.026mg/L</v>
      </c>
      <c r="P260">
        <v>0</v>
      </c>
      <c r="Q260" t="str">
        <f>"80"</f>
        <v>80</v>
      </c>
    </row>
    <row r="261" spans="1:17" x14ac:dyDescent="0.2">
      <c r="A261" t="str">
        <f>"Unknown"</f>
        <v>Unknown</v>
      </c>
      <c r="B261" t="str">
        <f>"NPOC/TN"</f>
        <v>NPOC/TN</v>
      </c>
      <c r="C261" t="str">
        <f>"1144"</f>
        <v>1144</v>
      </c>
      <c r="D261" t="str">
        <f>"DI"</f>
        <v>DI</v>
      </c>
      <c r="E261" t="str">
        <f>"C:\TOC3201\Methods\Itamar\acid_sample.met"</f>
        <v>C:\TOC3201\Methods\Itamar\acid_sample.met</v>
      </c>
      <c r="F261" t="str">
        <f>"C:\TOC3201\CalCurves\Itamar\N_cal_25ppm_acid_laurel.2019_08_21_15_23_49.cal"</f>
        <v>C:\TOC3201\CalCurves\Itamar\N_cal_25ppm_acid_laurel.2019_08_21_15_23_49.cal</v>
      </c>
      <c r="G261">
        <v>1</v>
      </c>
      <c r="H261" t="str">
        <f>""</f>
        <v/>
      </c>
      <c r="I261" t="str">
        <f>"8/22/2019 2:50:48 AM"</f>
        <v>8/22/2019 2:50:48 AM</v>
      </c>
      <c r="J261" t="str">
        <f>"1"</f>
        <v>1</v>
      </c>
      <c r="K261" t="str">
        <f>"5"</f>
        <v>5</v>
      </c>
      <c r="L261" t="str">
        <f>"TN"</f>
        <v>TN</v>
      </c>
      <c r="M261" t="str">
        <f>"3.189"</f>
        <v>3.189</v>
      </c>
      <c r="N261" t="str">
        <f>"1.029"</f>
        <v>1.029</v>
      </c>
      <c r="O261" t="str">
        <f>"NPOC:10.95mg/L TN:1.026mg/L"</f>
        <v>NPOC:10.95mg/L TN:1.026mg/L</v>
      </c>
      <c r="P261">
        <v>0</v>
      </c>
      <c r="Q261" t="str">
        <f>"80"</f>
        <v>80</v>
      </c>
    </row>
    <row r="262" spans="1:17" x14ac:dyDescent="0.2">
      <c r="A262" t="str">
        <f>"Unknown"</f>
        <v>Unknown</v>
      </c>
      <c r="B262" t="str">
        <f>"NPOC/TN"</f>
        <v>NPOC/TN</v>
      </c>
      <c r="C262" t="str">
        <f>"1146"</f>
        <v>1146</v>
      </c>
      <c r="D262" t="str">
        <f>"DI"</f>
        <v>DI</v>
      </c>
      <c r="E262" t="str">
        <f>"C:\TOC3201\Methods\Itamar\acid_sample.met"</f>
        <v>C:\TOC3201\Methods\Itamar\acid_sample.met</v>
      </c>
      <c r="F262" t="str">
        <f>"C:\TOC3201\CalCurves\Itamar\C_cal_100ppm_acid_laurel.2019_08_21_13_17_46.cal"</f>
        <v>C:\TOC3201\CalCurves\Itamar\C_cal_100ppm_acid_laurel.2019_08_21_13_17_46.cal</v>
      </c>
      <c r="G262">
        <v>1</v>
      </c>
      <c r="H262" t="str">
        <f>""</f>
        <v/>
      </c>
      <c r="I262" t="str">
        <f>"8/22/2019 3:00:54 AM"</f>
        <v>8/22/2019 3:00:54 AM</v>
      </c>
      <c r="J262" t="str">
        <f>"1"</f>
        <v>1</v>
      </c>
      <c r="K262" t="str">
        <f>"1"</f>
        <v>1</v>
      </c>
      <c r="L262" t="str">
        <f>"NPOC"</f>
        <v>NPOC</v>
      </c>
      <c r="M262" t="str">
        <f>"54.33"</f>
        <v>54.33</v>
      </c>
      <c r="N262" t="str">
        <f>"10.78"</f>
        <v>10.78</v>
      </c>
      <c r="O262" t="str">
        <f>"NPOC:11.01mg/L TN:1.185mg/L"</f>
        <v>NPOC:11.01mg/L TN:1.185mg/L</v>
      </c>
      <c r="P262">
        <v>0</v>
      </c>
      <c r="Q262" t="str">
        <f>"80"</f>
        <v>80</v>
      </c>
    </row>
    <row r="263" spans="1:17" x14ac:dyDescent="0.2">
      <c r="A263" t="str">
        <f>"Unknown"</f>
        <v>Unknown</v>
      </c>
      <c r="B263" t="str">
        <f>"NPOC/TN"</f>
        <v>NPOC/TN</v>
      </c>
      <c r="C263" t="str">
        <f>"1146"</f>
        <v>1146</v>
      </c>
      <c r="D263" t="str">
        <f>"DI"</f>
        <v>DI</v>
      </c>
      <c r="E263" t="str">
        <f>"C:\TOC3201\Methods\Itamar\acid_sample.met"</f>
        <v>C:\TOC3201\Methods\Itamar\acid_sample.met</v>
      </c>
      <c r="F263" t="str">
        <f>"C:\TOC3201\CalCurves\Itamar\C_cal_100ppm_acid_laurel.2019_08_21_13_17_46.cal"</f>
        <v>C:\TOC3201\CalCurves\Itamar\C_cal_100ppm_acid_laurel.2019_08_21_13_17_46.cal</v>
      </c>
      <c r="G263">
        <v>1</v>
      </c>
      <c r="H263" t="str">
        <f>""</f>
        <v/>
      </c>
      <c r="I263" t="str">
        <f>"8/22/2019 3:04:31 AM"</f>
        <v>8/22/2019 3:04:31 AM</v>
      </c>
      <c r="J263" t="str">
        <f>"1"</f>
        <v>1</v>
      </c>
      <c r="K263" t="str">
        <f>"2"</f>
        <v>2</v>
      </c>
      <c r="L263" t="str">
        <f>"NPOC"</f>
        <v>NPOC</v>
      </c>
      <c r="M263" t="str">
        <f>"52.74"</f>
        <v>52.74</v>
      </c>
      <c r="N263" t="str">
        <f>"10.46"</f>
        <v>10.46</v>
      </c>
      <c r="O263" t="str">
        <f>"NPOC:11.01mg/L TN:1.185mg/L"</f>
        <v>NPOC:11.01mg/L TN:1.185mg/L</v>
      </c>
      <c r="P263">
        <v>1</v>
      </c>
      <c r="Q263" t="str">
        <f>"80"</f>
        <v>80</v>
      </c>
    </row>
    <row r="264" spans="1:17" x14ac:dyDescent="0.2">
      <c r="A264" t="str">
        <f>"Unknown"</f>
        <v>Unknown</v>
      </c>
      <c r="B264" t="str">
        <f>"NPOC/TN"</f>
        <v>NPOC/TN</v>
      </c>
      <c r="C264" t="str">
        <f>"1146"</f>
        <v>1146</v>
      </c>
      <c r="D264" t="str">
        <f>"DI"</f>
        <v>DI</v>
      </c>
      <c r="E264" t="str">
        <f>"C:\TOC3201\Methods\Itamar\acid_sample.met"</f>
        <v>C:\TOC3201\Methods\Itamar\acid_sample.met</v>
      </c>
      <c r="F264" t="str">
        <f>"C:\TOC3201\CalCurves\Itamar\C_cal_100ppm_acid_laurel.2019_08_21_13_17_46.cal"</f>
        <v>C:\TOC3201\CalCurves\Itamar\C_cal_100ppm_acid_laurel.2019_08_21_13_17_46.cal</v>
      </c>
      <c r="G264">
        <v>1</v>
      </c>
      <c r="H264" t="str">
        <f>""</f>
        <v/>
      </c>
      <c r="I264" t="str">
        <f>"8/22/2019 3:08:08 AM"</f>
        <v>8/22/2019 3:08:08 AM</v>
      </c>
      <c r="J264" t="str">
        <f>"1"</f>
        <v>1</v>
      </c>
      <c r="K264" t="str">
        <f>"3"</f>
        <v>3</v>
      </c>
      <c r="L264" t="str">
        <f>"NPOC"</f>
        <v>NPOC</v>
      </c>
      <c r="M264" t="str">
        <f>"56.35"</f>
        <v>56.35</v>
      </c>
      <c r="N264" t="str">
        <f>"11.20"</f>
        <v>11.20</v>
      </c>
      <c r="O264" t="str">
        <f>"NPOC:11.01mg/L TN:1.185mg/L"</f>
        <v>NPOC:11.01mg/L TN:1.185mg/L</v>
      </c>
      <c r="P264">
        <v>0</v>
      </c>
      <c r="Q264" t="str">
        <f>"80"</f>
        <v>80</v>
      </c>
    </row>
    <row r="265" spans="1:17" x14ac:dyDescent="0.2">
      <c r="A265" t="str">
        <f>"Unknown"</f>
        <v>Unknown</v>
      </c>
      <c r="B265" t="str">
        <f>"NPOC/TN"</f>
        <v>NPOC/TN</v>
      </c>
      <c r="C265" t="str">
        <f>"1146"</f>
        <v>1146</v>
      </c>
      <c r="D265" t="str">
        <f>"DI"</f>
        <v>DI</v>
      </c>
      <c r="E265" t="str">
        <f>"C:\TOC3201\Methods\Itamar\acid_sample.met"</f>
        <v>C:\TOC3201\Methods\Itamar\acid_sample.met</v>
      </c>
      <c r="F265" t="str">
        <f>"C:\TOC3201\CalCurves\Itamar\C_cal_100ppm_acid_laurel.2019_08_21_13_17_46.cal"</f>
        <v>C:\TOC3201\CalCurves\Itamar\C_cal_100ppm_acid_laurel.2019_08_21_13_17_46.cal</v>
      </c>
      <c r="G265">
        <v>1</v>
      </c>
      <c r="H265" t="str">
        <f>""</f>
        <v/>
      </c>
      <c r="I265" t="str">
        <f>"8/22/2019 3:11:46 AM"</f>
        <v>8/22/2019 3:11:46 AM</v>
      </c>
      <c r="J265" t="str">
        <f>"1"</f>
        <v>1</v>
      </c>
      <c r="K265" t="str">
        <f>"4"</f>
        <v>4</v>
      </c>
      <c r="L265" t="str">
        <f>"NPOC"</f>
        <v>NPOC</v>
      </c>
      <c r="M265" t="str">
        <f>"55.66"</f>
        <v>55.66</v>
      </c>
      <c r="N265" t="str">
        <f>"11.06"</f>
        <v>11.06</v>
      </c>
      <c r="O265" t="str">
        <f>"NPOC:11.01mg/L TN:1.185mg/L"</f>
        <v>NPOC:11.01mg/L TN:1.185mg/L</v>
      </c>
      <c r="P265">
        <v>0</v>
      </c>
      <c r="Q265" t="str">
        <f>"80"</f>
        <v>80</v>
      </c>
    </row>
    <row r="266" spans="1:17" x14ac:dyDescent="0.2">
      <c r="A266" t="str">
        <f>"Unknown"</f>
        <v>Unknown</v>
      </c>
      <c r="B266" t="str">
        <f>"NPOC/TN"</f>
        <v>NPOC/TN</v>
      </c>
      <c r="C266" t="str">
        <f>"1146"</f>
        <v>1146</v>
      </c>
      <c r="D266" t="str">
        <f>"DI"</f>
        <v>DI</v>
      </c>
      <c r="E266" t="str">
        <f>"C:\TOC3201\Methods\Itamar\acid_sample.met"</f>
        <v>C:\TOC3201\Methods\Itamar\acid_sample.met</v>
      </c>
      <c r="F266" t="str">
        <f>"C:\TOC3201\CalCurves\Itamar\N_cal_25ppm_acid_laurel.2019_08_21_15_23_49.cal"</f>
        <v>C:\TOC3201\CalCurves\Itamar\N_cal_25ppm_acid_laurel.2019_08_21_15_23_49.cal</v>
      </c>
      <c r="G266">
        <v>1</v>
      </c>
      <c r="H266" t="str">
        <f>""</f>
        <v/>
      </c>
      <c r="I266" t="str">
        <f>"8/22/2019 3:00:54 AM"</f>
        <v>8/22/2019 3:00:54 AM</v>
      </c>
      <c r="J266" t="str">
        <f>"1"</f>
        <v>1</v>
      </c>
      <c r="K266" t="str">
        <f>"1"</f>
        <v>1</v>
      </c>
      <c r="L266" t="str">
        <f>"TN"</f>
        <v>TN</v>
      </c>
      <c r="M266" t="str">
        <f>"3.744"</f>
        <v>3.744</v>
      </c>
      <c r="N266" t="str">
        <f>"1.181"</f>
        <v>1.181</v>
      </c>
      <c r="O266" t="str">
        <f>"NPOC:11.01mg/L TN:1.185mg/L"</f>
        <v>NPOC:11.01mg/L TN:1.185mg/L</v>
      </c>
      <c r="P266">
        <v>0</v>
      </c>
      <c r="Q266" t="str">
        <f>"80"</f>
        <v>80</v>
      </c>
    </row>
    <row r="267" spans="1:17" x14ac:dyDescent="0.2">
      <c r="A267" t="str">
        <f>"Unknown"</f>
        <v>Unknown</v>
      </c>
      <c r="B267" t="str">
        <f>"NPOC/TN"</f>
        <v>NPOC/TN</v>
      </c>
      <c r="C267" t="str">
        <f>"1146"</f>
        <v>1146</v>
      </c>
      <c r="D267" t="str">
        <f>"DI"</f>
        <v>DI</v>
      </c>
      <c r="E267" t="str">
        <f>"C:\TOC3201\Methods\Itamar\acid_sample.met"</f>
        <v>C:\TOC3201\Methods\Itamar\acid_sample.met</v>
      </c>
      <c r="F267" t="str">
        <f>"C:\TOC3201\CalCurves\Itamar\N_cal_25ppm_acid_laurel.2019_08_21_15_23_49.cal"</f>
        <v>C:\TOC3201\CalCurves\Itamar\N_cal_25ppm_acid_laurel.2019_08_21_15_23_49.cal</v>
      </c>
      <c r="G267">
        <v>1</v>
      </c>
      <c r="H267" t="str">
        <f>""</f>
        <v/>
      </c>
      <c r="I267" t="str">
        <f>"8/22/2019 3:04:31 AM"</f>
        <v>8/22/2019 3:04:31 AM</v>
      </c>
      <c r="J267" t="str">
        <f>"1"</f>
        <v>1</v>
      </c>
      <c r="K267" t="str">
        <f>"2"</f>
        <v>2</v>
      </c>
      <c r="L267" t="str">
        <f>"TN"</f>
        <v>TN</v>
      </c>
      <c r="M267" t="str">
        <f>"3.541"</f>
        <v>3.541</v>
      </c>
      <c r="N267" t="str">
        <f>"1.126"</f>
        <v>1.126</v>
      </c>
      <c r="O267" t="str">
        <f>"NPOC:11.01mg/L TN:1.185mg/L"</f>
        <v>NPOC:11.01mg/L TN:1.185mg/L</v>
      </c>
      <c r="P267">
        <v>1</v>
      </c>
      <c r="Q267" t="str">
        <f>"80"</f>
        <v>80</v>
      </c>
    </row>
    <row r="268" spans="1:17" x14ac:dyDescent="0.2">
      <c r="A268" t="str">
        <f>"Unknown"</f>
        <v>Unknown</v>
      </c>
      <c r="B268" t="str">
        <f>"NPOC/TN"</f>
        <v>NPOC/TN</v>
      </c>
      <c r="C268" t="str">
        <f>"1146"</f>
        <v>1146</v>
      </c>
      <c r="D268" t="str">
        <f>"DI"</f>
        <v>DI</v>
      </c>
      <c r="E268" t="str">
        <f>"C:\TOC3201\Methods\Itamar\acid_sample.met"</f>
        <v>C:\TOC3201\Methods\Itamar\acid_sample.met</v>
      </c>
      <c r="F268" t="str">
        <f>"C:\TOC3201\CalCurves\Itamar\N_cal_25ppm_acid_laurel.2019_08_21_15_23_49.cal"</f>
        <v>C:\TOC3201\CalCurves\Itamar\N_cal_25ppm_acid_laurel.2019_08_21_15_23_49.cal</v>
      </c>
      <c r="G268">
        <v>1</v>
      </c>
      <c r="H268" t="str">
        <f>""</f>
        <v/>
      </c>
      <c r="I268" t="str">
        <f>"8/22/2019 3:08:08 AM"</f>
        <v>8/22/2019 3:08:08 AM</v>
      </c>
      <c r="J268" t="str">
        <f>"1"</f>
        <v>1</v>
      </c>
      <c r="K268" t="str">
        <f>"3"</f>
        <v>3</v>
      </c>
      <c r="L268" t="str">
        <f>"TN"</f>
        <v>TN</v>
      </c>
      <c r="M268" t="str">
        <f>"3.687"</f>
        <v>3.687</v>
      </c>
      <c r="N268" t="str">
        <f>"1.166"</f>
        <v>1.166</v>
      </c>
      <c r="O268" t="str">
        <f>"NPOC:11.01mg/L TN:1.185mg/L"</f>
        <v>NPOC:11.01mg/L TN:1.185mg/L</v>
      </c>
      <c r="P268">
        <v>0</v>
      </c>
      <c r="Q268" t="str">
        <f>"80"</f>
        <v>80</v>
      </c>
    </row>
    <row r="269" spans="1:17" x14ac:dyDescent="0.2">
      <c r="A269" t="str">
        <f>"Unknown"</f>
        <v>Unknown</v>
      </c>
      <c r="B269" t="str">
        <f>"NPOC/TN"</f>
        <v>NPOC/TN</v>
      </c>
      <c r="C269" t="str">
        <f>"1146"</f>
        <v>1146</v>
      </c>
      <c r="D269" t="str">
        <f>"DI"</f>
        <v>DI</v>
      </c>
      <c r="E269" t="str">
        <f>"C:\TOC3201\Methods\Itamar\acid_sample.met"</f>
        <v>C:\TOC3201\Methods\Itamar\acid_sample.met</v>
      </c>
      <c r="F269" t="str">
        <f>"C:\TOC3201\CalCurves\Itamar\N_cal_25ppm_acid_laurel.2019_08_21_15_23_49.cal"</f>
        <v>C:\TOC3201\CalCurves\Itamar\N_cal_25ppm_acid_laurel.2019_08_21_15_23_49.cal</v>
      </c>
      <c r="G269">
        <v>1</v>
      </c>
      <c r="H269" t="str">
        <f>""</f>
        <v/>
      </c>
      <c r="I269" t="str">
        <f>"8/22/2019 3:11:46 AM"</f>
        <v>8/22/2019 3:11:46 AM</v>
      </c>
      <c r="J269" t="str">
        <f>"1"</f>
        <v>1</v>
      </c>
      <c r="K269" t="str">
        <f>"4"</f>
        <v>4</v>
      </c>
      <c r="L269" t="str">
        <f>"TN"</f>
        <v>TN</v>
      </c>
      <c r="M269" t="str">
        <f>"3.841"</f>
        <v>3.841</v>
      </c>
      <c r="N269" t="str">
        <f>"1.208"</f>
        <v>1.208</v>
      </c>
      <c r="O269" t="str">
        <f>"NPOC:11.01mg/L TN:1.185mg/L"</f>
        <v>NPOC:11.01mg/L TN:1.185mg/L</v>
      </c>
      <c r="P269">
        <v>0</v>
      </c>
      <c r="Q269" t="str">
        <f>"80"</f>
        <v>80</v>
      </c>
    </row>
    <row r="270" spans="1:17" x14ac:dyDescent="0.2">
      <c r="A270" t="str">
        <f>"Unknown"</f>
        <v>Unknown</v>
      </c>
      <c r="B270" t="str">
        <f>"NPOC/TN"</f>
        <v>NPOC/TN</v>
      </c>
      <c r="C270" t="str">
        <f>"1148"</f>
        <v>1148</v>
      </c>
      <c r="D270" t="str">
        <f>"DI"</f>
        <v>DI</v>
      </c>
      <c r="E270" t="str">
        <f>"C:\TOC3201\Methods\Itamar\acid_sample.met"</f>
        <v>C:\TOC3201\Methods\Itamar\acid_sample.met</v>
      </c>
      <c r="F270" t="str">
        <f>"C:\TOC3201\CalCurves\Itamar\C_cal_100ppm_acid_laurel.2019_08_21_13_17_46.cal"</f>
        <v>C:\TOC3201\CalCurves\Itamar\C_cal_100ppm_acid_laurel.2019_08_21_13_17_46.cal</v>
      </c>
      <c r="G270">
        <v>1</v>
      </c>
      <c r="H270" t="str">
        <f>""</f>
        <v/>
      </c>
      <c r="I270" t="str">
        <f>"8/22/2019 3:21:47 AM"</f>
        <v>8/22/2019 3:21:47 AM</v>
      </c>
      <c r="J270" t="str">
        <f>"1"</f>
        <v>1</v>
      </c>
      <c r="K270" t="str">
        <f>"1"</f>
        <v>1</v>
      </c>
      <c r="L270" t="str">
        <f>"NPOC"</f>
        <v>NPOC</v>
      </c>
      <c r="M270" t="str">
        <f>"41.63"</f>
        <v>41.63</v>
      </c>
      <c r="N270" t="str">
        <f>"8.187"</f>
        <v>8.187</v>
      </c>
      <c r="O270" t="str">
        <f>"NPOC:8.347mg/L TN:0.6354mg/L"</f>
        <v>NPOC:8.347mg/L TN:0.6354mg/L</v>
      </c>
      <c r="P270">
        <v>0</v>
      </c>
      <c r="Q270" t="str">
        <f>"80"</f>
        <v>80</v>
      </c>
    </row>
    <row r="271" spans="1:17" x14ac:dyDescent="0.2">
      <c r="A271" t="str">
        <f>"Unknown"</f>
        <v>Unknown</v>
      </c>
      <c r="B271" t="str">
        <f>"NPOC/TN"</f>
        <v>NPOC/TN</v>
      </c>
      <c r="C271" t="str">
        <f>"1148"</f>
        <v>1148</v>
      </c>
      <c r="D271" t="str">
        <f>"DI"</f>
        <v>DI</v>
      </c>
      <c r="E271" t="str">
        <f>"C:\TOC3201\Methods\Itamar\acid_sample.met"</f>
        <v>C:\TOC3201\Methods\Itamar\acid_sample.met</v>
      </c>
      <c r="F271" t="str">
        <f>"C:\TOC3201\CalCurves\Itamar\C_cal_100ppm_acid_laurel.2019_08_21_13_17_46.cal"</f>
        <v>C:\TOC3201\CalCurves\Itamar\C_cal_100ppm_acid_laurel.2019_08_21_13_17_46.cal</v>
      </c>
      <c r="G271">
        <v>1</v>
      </c>
      <c r="H271" t="str">
        <f>""</f>
        <v/>
      </c>
      <c r="I271" t="str">
        <f>"8/22/2019 3:25:21 AM"</f>
        <v>8/22/2019 3:25:21 AM</v>
      </c>
      <c r="J271" t="str">
        <f>"1"</f>
        <v>1</v>
      </c>
      <c r="K271" t="str">
        <f>"2"</f>
        <v>2</v>
      </c>
      <c r="L271" t="str">
        <f>"NPOC"</f>
        <v>NPOC</v>
      </c>
      <c r="M271" t="str">
        <f>"42.50"</f>
        <v>42.50</v>
      </c>
      <c r="N271" t="str">
        <f>"8.365"</f>
        <v>8.365</v>
      </c>
      <c r="O271" t="str">
        <f>"NPOC:8.347mg/L TN:0.6354mg/L"</f>
        <v>NPOC:8.347mg/L TN:0.6354mg/L</v>
      </c>
      <c r="P271">
        <v>0</v>
      </c>
      <c r="Q271" t="str">
        <f>"80"</f>
        <v>80</v>
      </c>
    </row>
    <row r="272" spans="1:17" x14ac:dyDescent="0.2">
      <c r="A272" t="str">
        <f>"Unknown"</f>
        <v>Unknown</v>
      </c>
      <c r="B272" t="str">
        <f>"NPOC/TN"</f>
        <v>NPOC/TN</v>
      </c>
      <c r="C272" t="str">
        <f>"1148"</f>
        <v>1148</v>
      </c>
      <c r="D272" t="str">
        <f>"DI"</f>
        <v>DI</v>
      </c>
      <c r="E272" t="str">
        <f>"C:\TOC3201\Methods\Itamar\acid_sample.met"</f>
        <v>C:\TOC3201\Methods\Itamar\acid_sample.met</v>
      </c>
      <c r="F272" t="str">
        <f>"C:\TOC3201\CalCurves\Itamar\C_cal_100ppm_acid_laurel.2019_08_21_13_17_46.cal"</f>
        <v>C:\TOC3201\CalCurves\Itamar\C_cal_100ppm_acid_laurel.2019_08_21_13_17_46.cal</v>
      </c>
      <c r="G272">
        <v>1</v>
      </c>
      <c r="H272" t="str">
        <f>""</f>
        <v/>
      </c>
      <c r="I272" t="str">
        <f>"8/22/2019 3:28:54 AM"</f>
        <v>8/22/2019 3:28:54 AM</v>
      </c>
      <c r="J272" t="str">
        <f>"1"</f>
        <v>1</v>
      </c>
      <c r="K272" t="str">
        <f>"3"</f>
        <v>3</v>
      </c>
      <c r="L272" t="str">
        <f>"NPOC"</f>
        <v>NPOC</v>
      </c>
      <c r="M272" t="str">
        <f>"43.11"</f>
        <v>43.11</v>
      </c>
      <c r="N272" t="str">
        <f>"8.489"</f>
        <v>8.489</v>
      </c>
      <c r="O272" t="str">
        <f>"NPOC:8.347mg/L TN:0.6354mg/L"</f>
        <v>NPOC:8.347mg/L TN:0.6354mg/L</v>
      </c>
      <c r="P272">
        <v>0</v>
      </c>
      <c r="Q272" t="str">
        <f>"80"</f>
        <v>80</v>
      </c>
    </row>
    <row r="273" spans="1:17" x14ac:dyDescent="0.2">
      <c r="A273" t="str">
        <f>"Unknown"</f>
        <v>Unknown</v>
      </c>
      <c r="B273" t="str">
        <f>"NPOC/TN"</f>
        <v>NPOC/TN</v>
      </c>
      <c r="C273" t="str">
        <f>"1148"</f>
        <v>1148</v>
      </c>
      <c r="D273" t="str">
        <f>"DI"</f>
        <v>DI</v>
      </c>
      <c r="E273" t="str">
        <f>"C:\TOC3201\Methods\Itamar\acid_sample.met"</f>
        <v>C:\TOC3201\Methods\Itamar\acid_sample.met</v>
      </c>
      <c r="F273" t="str">
        <f>"C:\TOC3201\CalCurves\Itamar\N_cal_25ppm_acid_laurel.2019_08_21_15_23_49.cal"</f>
        <v>C:\TOC3201\CalCurves\Itamar\N_cal_25ppm_acid_laurel.2019_08_21_15_23_49.cal</v>
      </c>
      <c r="G273">
        <v>1</v>
      </c>
      <c r="H273" t="str">
        <f>""</f>
        <v/>
      </c>
      <c r="I273" t="str">
        <f>"8/22/2019 3:21:47 AM"</f>
        <v>8/22/2019 3:21:47 AM</v>
      </c>
      <c r="J273" t="str">
        <f>"1"</f>
        <v>1</v>
      </c>
      <c r="K273" t="str">
        <f>"1"</f>
        <v>1</v>
      </c>
      <c r="L273" t="str">
        <f>"TN"</f>
        <v>TN</v>
      </c>
      <c r="M273" t="str">
        <f>"1.129"</f>
        <v>1.129</v>
      </c>
      <c r="N273" t="str">
        <f>"0.4640"</f>
        <v>0.4640</v>
      </c>
      <c r="O273" t="str">
        <f>"NPOC:8.347mg/L TN:0.6354mg/L"</f>
        <v>NPOC:8.347mg/L TN:0.6354mg/L</v>
      </c>
      <c r="P273">
        <v>1</v>
      </c>
      <c r="Q273" t="str">
        <f>"80"</f>
        <v>80</v>
      </c>
    </row>
    <row r="274" spans="1:17" x14ac:dyDescent="0.2">
      <c r="A274" t="str">
        <f>"Unknown"</f>
        <v>Unknown</v>
      </c>
      <c r="B274" t="str">
        <f>"NPOC/TN"</f>
        <v>NPOC/TN</v>
      </c>
      <c r="C274" t="str">
        <f>"1148"</f>
        <v>1148</v>
      </c>
      <c r="D274" t="str">
        <f>"DI"</f>
        <v>DI</v>
      </c>
      <c r="E274" t="str">
        <f>"C:\TOC3201\Methods\Itamar\acid_sample.met"</f>
        <v>C:\TOC3201\Methods\Itamar\acid_sample.met</v>
      </c>
      <c r="F274" t="str">
        <f>"C:\TOC3201\CalCurves\Itamar\N_cal_25ppm_acid_laurel.2019_08_21_15_23_49.cal"</f>
        <v>C:\TOC3201\CalCurves\Itamar\N_cal_25ppm_acid_laurel.2019_08_21_15_23_49.cal</v>
      </c>
      <c r="G274">
        <v>1</v>
      </c>
      <c r="H274" t="str">
        <f>""</f>
        <v/>
      </c>
      <c r="I274" t="str">
        <f>"8/22/2019 3:25:21 AM"</f>
        <v>8/22/2019 3:25:21 AM</v>
      </c>
      <c r="J274" t="str">
        <f>"1"</f>
        <v>1</v>
      </c>
      <c r="K274" t="str">
        <f>"2"</f>
        <v>2</v>
      </c>
      <c r="L274" t="str">
        <f>"TN"</f>
        <v>TN</v>
      </c>
      <c r="M274" t="str">
        <f>"2.270"</f>
        <v>2.270</v>
      </c>
      <c r="N274" t="str">
        <f>"0.7770"</f>
        <v>0.7770</v>
      </c>
      <c r="O274" t="str">
        <f>"NPOC:8.347mg/L TN:0.6354mg/L"</f>
        <v>NPOC:8.347mg/L TN:0.6354mg/L</v>
      </c>
      <c r="P274">
        <v>1</v>
      </c>
      <c r="Q274" t="str">
        <f>"80"</f>
        <v>80</v>
      </c>
    </row>
    <row r="275" spans="1:17" x14ac:dyDescent="0.2">
      <c r="A275" t="str">
        <f>"Unknown"</f>
        <v>Unknown</v>
      </c>
      <c r="B275" t="str">
        <f>"NPOC/TN"</f>
        <v>NPOC/TN</v>
      </c>
      <c r="C275" t="str">
        <f>"1148"</f>
        <v>1148</v>
      </c>
      <c r="D275" t="str">
        <f>"DI"</f>
        <v>DI</v>
      </c>
      <c r="E275" t="str">
        <f>"C:\TOC3201\Methods\Itamar\acid_sample.met"</f>
        <v>C:\TOC3201\Methods\Itamar\acid_sample.met</v>
      </c>
      <c r="F275" t="str">
        <f>"C:\TOC3201\CalCurves\Itamar\N_cal_25ppm_acid_laurel.2019_08_21_15_23_49.cal"</f>
        <v>C:\TOC3201\CalCurves\Itamar\N_cal_25ppm_acid_laurel.2019_08_21_15_23_49.cal</v>
      </c>
      <c r="G275">
        <v>1</v>
      </c>
      <c r="H275" t="str">
        <f>""</f>
        <v/>
      </c>
      <c r="I275" t="str">
        <f>"8/22/2019 3:28:54 AM"</f>
        <v>8/22/2019 3:28:54 AM</v>
      </c>
      <c r="J275" t="str">
        <f>"1"</f>
        <v>1</v>
      </c>
      <c r="K275" t="str">
        <f>"3"</f>
        <v>3</v>
      </c>
      <c r="L275" t="str">
        <f>"TN"</f>
        <v>TN</v>
      </c>
      <c r="M275" t="str">
        <f>"1.803"</f>
        <v>1.803</v>
      </c>
      <c r="N275" t="str">
        <f>"0.6489"</f>
        <v>0.6489</v>
      </c>
      <c r="O275" t="str">
        <f>"NPOC:8.347mg/L TN:0.6354mg/L"</f>
        <v>NPOC:8.347mg/L TN:0.6354mg/L</v>
      </c>
      <c r="P275">
        <v>0</v>
      </c>
      <c r="Q275" t="str">
        <f>"80"</f>
        <v>80</v>
      </c>
    </row>
    <row r="276" spans="1:17" x14ac:dyDescent="0.2">
      <c r="A276" t="str">
        <f>"Unknown"</f>
        <v>Unknown</v>
      </c>
      <c r="B276" t="str">
        <f>"NPOC/TN"</f>
        <v>NPOC/TN</v>
      </c>
      <c r="C276" t="str">
        <f>"1148"</f>
        <v>1148</v>
      </c>
      <c r="D276" t="str">
        <f>"DI"</f>
        <v>DI</v>
      </c>
      <c r="E276" t="str">
        <f>"C:\TOC3201\Methods\Itamar\acid_sample.met"</f>
        <v>C:\TOC3201\Methods\Itamar\acid_sample.met</v>
      </c>
      <c r="F276" t="str">
        <f>"C:\TOC3201\CalCurves\Itamar\N_cal_25ppm_acid_laurel.2019_08_21_15_23_49.cal"</f>
        <v>C:\TOC3201\CalCurves\Itamar\N_cal_25ppm_acid_laurel.2019_08_21_15_23_49.cal</v>
      </c>
      <c r="G276">
        <v>1</v>
      </c>
      <c r="H276" t="str">
        <f>""</f>
        <v/>
      </c>
      <c r="I276" t="str">
        <f>"8/22/2019 3:31:51 AM"</f>
        <v>8/22/2019 3:31:51 AM</v>
      </c>
      <c r="J276" t="str">
        <f>"1"</f>
        <v>1</v>
      </c>
      <c r="K276" t="str">
        <f>"4"</f>
        <v>4</v>
      </c>
      <c r="L276" t="str">
        <f>"TN"</f>
        <v>TN</v>
      </c>
      <c r="M276" t="str">
        <f>"1.793"</f>
        <v>1.793</v>
      </c>
      <c r="N276" t="str">
        <f>"0.6462"</f>
        <v>0.6462</v>
      </c>
      <c r="O276" t="str">
        <f>"NPOC:8.347mg/L TN:0.6354mg/L"</f>
        <v>NPOC:8.347mg/L TN:0.6354mg/L</v>
      </c>
      <c r="P276">
        <v>0</v>
      </c>
      <c r="Q276" t="str">
        <f>"80"</f>
        <v>80</v>
      </c>
    </row>
    <row r="277" spans="1:17" x14ac:dyDescent="0.2">
      <c r="A277" t="str">
        <f>"Unknown"</f>
        <v>Unknown</v>
      </c>
      <c r="B277" t="str">
        <f>"NPOC/TN"</f>
        <v>NPOC/TN</v>
      </c>
      <c r="C277" t="str">
        <f>"1148"</f>
        <v>1148</v>
      </c>
      <c r="D277" t="str">
        <f>"DI"</f>
        <v>DI</v>
      </c>
      <c r="E277" t="str">
        <f>"C:\TOC3201\Methods\Itamar\acid_sample.met"</f>
        <v>C:\TOC3201\Methods\Itamar\acid_sample.met</v>
      </c>
      <c r="F277" t="str">
        <f>"C:\TOC3201\CalCurves\Itamar\N_cal_25ppm_acid_laurel.2019_08_21_15_23_49.cal"</f>
        <v>C:\TOC3201\CalCurves\Itamar\N_cal_25ppm_acid_laurel.2019_08_21_15_23_49.cal</v>
      </c>
      <c r="G277">
        <v>1</v>
      </c>
      <c r="H277" t="str">
        <f>""</f>
        <v/>
      </c>
      <c r="I277" t="str">
        <f>"8/22/2019 3:34:52 AM"</f>
        <v>8/22/2019 3:34:52 AM</v>
      </c>
      <c r="J277" t="str">
        <f>"1"</f>
        <v>1</v>
      </c>
      <c r="K277" t="str">
        <f>"5"</f>
        <v>5</v>
      </c>
      <c r="L277" t="str">
        <f>"TN"</f>
        <v>TN</v>
      </c>
      <c r="M277" t="str">
        <f>"1.665"</f>
        <v>1.665</v>
      </c>
      <c r="N277" t="str">
        <f>"0.6110"</f>
        <v>0.6110</v>
      </c>
      <c r="O277" t="str">
        <f>"NPOC:8.347mg/L TN:0.6354mg/L"</f>
        <v>NPOC:8.347mg/L TN:0.6354mg/L</v>
      </c>
      <c r="P277">
        <v>0</v>
      </c>
      <c r="Q277" t="str">
        <f>"80"</f>
        <v>80</v>
      </c>
    </row>
    <row r="278" spans="1:17" x14ac:dyDescent="0.2">
      <c r="A278" t="str">
        <f>"Unknown"</f>
        <v>Unknown</v>
      </c>
      <c r="B278" t="str">
        <f>"NPOC/TN"</f>
        <v>NPOC/TN</v>
      </c>
      <c r="C278" t="str">
        <f>"1150"</f>
        <v>1150</v>
      </c>
      <c r="D278" t="str">
        <f>"DI"</f>
        <v>DI</v>
      </c>
      <c r="E278" t="str">
        <f>"C:\TOC3201\Methods\Itamar\acid_sample.met"</f>
        <v>C:\TOC3201\Methods\Itamar\acid_sample.met</v>
      </c>
      <c r="F278" t="str">
        <f>"C:\TOC3201\CalCurves\Itamar\C_cal_100ppm_acid_laurel.2019_08_21_13_17_46.cal"</f>
        <v>C:\TOC3201\CalCurves\Itamar\C_cal_100ppm_acid_laurel.2019_08_21_13_17_46.cal</v>
      </c>
      <c r="G278">
        <v>1</v>
      </c>
      <c r="H278" t="str">
        <f>""</f>
        <v/>
      </c>
      <c r="I278" t="str">
        <f>"8/22/2019 3:44:57 AM"</f>
        <v>8/22/2019 3:44:57 AM</v>
      </c>
      <c r="J278" t="str">
        <f>"1"</f>
        <v>1</v>
      </c>
      <c r="K278" t="str">
        <f>"1"</f>
        <v>1</v>
      </c>
      <c r="L278" t="str">
        <f>"NPOC"</f>
        <v>NPOC</v>
      </c>
      <c r="M278" t="str">
        <f>"45.20"</f>
        <v>45.20</v>
      </c>
      <c r="N278" t="str">
        <f>"8.917"</f>
        <v>8.917</v>
      </c>
      <c r="O278" t="str">
        <f>"NPOC:9.067mg/L TN:0.7887mg/L"</f>
        <v>NPOC:9.067mg/L TN:0.7887mg/L</v>
      </c>
      <c r="P278">
        <v>0</v>
      </c>
      <c r="Q278" t="str">
        <f>"80"</f>
        <v>80</v>
      </c>
    </row>
    <row r="279" spans="1:17" x14ac:dyDescent="0.2">
      <c r="A279" t="str">
        <f>"Unknown"</f>
        <v>Unknown</v>
      </c>
      <c r="B279" t="str">
        <f>"NPOC/TN"</f>
        <v>NPOC/TN</v>
      </c>
      <c r="C279" t="str">
        <f>"1150"</f>
        <v>1150</v>
      </c>
      <c r="D279" t="str">
        <f>"DI"</f>
        <v>DI</v>
      </c>
      <c r="E279" t="str">
        <f>"C:\TOC3201\Methods\Itamar\acid_sample.met"</f>
        <v>C:\TOC3201\Methods\Itamar\acid_sample.met</v>
      </c>
      <c r="F279" t="str">
        <f>"C:\TOC3201\CalCurves\Itamar\C_cal_100ppm_acid_laurel.2019_08_21_13_17_46.cal"</f>
        <v>C:\TOC3201\CalCurves\Itamar\C_cal_100ppm_acid_laurel.2019_08_21_13_17_46.cal</v>
      </c>
      <c r="G279">
        <v>1</v>
      </c>
      <c r="H279" t="str">
        <f>""</f>
        <v/>
      </c>
      <c r="I279" t="str">
        <f>"8/22/2019 3:48:34 AM"</f>
        <v>8/22/2019 3:48:34 AM</v>
      </c>
      <c r="J279" t="str">
        <f>"1"</f>
        <v>1</v>
      </c>
      <c r="K279" t="str">
        <f>"2"</f>
        <v>2</v>
      </c>
      <c r="L279" t="str">
        <f>"NPOC"</f>
        <v>NPOC</v>
      </c>
      <c r="M279" t="str">
        <f>"44.27"</f>
        <v>44.27</v>
      </c>
      <c r="N279" t="str">
        <f>"8.726"</f>
        <v>8.726</v>
      </c>
      <c r="O279" t="str">
        <f>"NPOC:9.067mg/L TN:0.7887mg/L"</f>
        <v>NPOC:9.067mg/L TN:0.7887mg/L</v>
      </c>
      <c r="P279">
        <v>1</v>
      </c>
      <c r="Q279" t="str">
        <f>"80"</f>
        <v>80</v>
      </c>
    </row>
    <row r="280" spans="1:17" x14ac:dyDescent="0.2">
      <c r="A280" t="str">
        <f>"Unknown"</f>
        <v>Unknown</v>
      </c>
      <c r="B280" t="str">
        <f>"NPOC/TN"</f>
        <v>NPOC/TN</v>
      </c>
      <c r="C280" t="str">
        <f>"1150"</f>
        <v>1150</v>
      </c>
      <c r="D280" t="str">
        <f>"DI"</f>
        <v>DI</v>
      </c>
      <c r="E280" t="str">
        <f>"C:\TOC3201\Methods\Itamar\acid_sample.met"</f>
        <v>C:\TOC3201\Methods\Itamar\acid_sample.met</v>
      </c>
      <c r="F280" t="str">
        <f>"C:\TOC3201\CalCurves\Itamar\C_cal_100ppm_acid_laurel.2019_08_21_13_17_46.cal"</f>
        <v>C:\TOC3201\CalCurves\Itamar\C_cal_100ppm_acid_laurel.2019_08_21_13_17_46.cal</v>
      </c>
      <c r="G280">
        <v>1</v>
      </c>
      <c r="H280" t="str">
        <f>""</f>
        <v/>
      </c>
      <c r="I280" t="str">
        <f>"8/22/2019 3:52:11 AM"</f>
        <v>8/22/2019 3:52:11 AM</v>
      </c>
      <c r="J280" t="str">
        <f>"1"</f>
        <v>1</v>
      </c>
      <c r="K280" t="str">
        <f>"3"</f>
        <v>3</v>
      </c>
      <c r="L280" t="str">
        <f>"NPOC"</f>
        <v>NPOC</v>
      </c>
      <c r="M280" t="str">
        <f>"46.31"</f>
        <v>46.31</v>
      </c>
      <c r="N280" t="str">
        <f>"9.144"</f>
        <v>9.144</v>
      </c>
      <c r="O280" t="str">
        <f>"NPOC:9.067mg/L TN:0.7887mg/L"</f>
        <v>NPOC:9.067mg/L TN:0.7887mg/L</v>
      </c>
      <c r="P280">
        <v>0</v>
      </c>
      <c r="Q280" t="str">
        <f>"80"</f>
        <v>80</v>
      </c>
    </row>
    <row r="281" spans="1:17" x14ac:dyDescent="0.2">
      <c r="A281" t="str">
        <f>"Unknown"</f>
        <v>Unknown</v>
      </c>
      <c r="B281" t="str">
        <f>"NPOC/TN"</f>
        <v>NPOC/TN</v>
      </c>
      <c r="C281" t="str">
        <f>"1150"</f>
        <v>1150</v>
      </c>
      <c r="D281" t="str">
        <f>"DI"</f>
        <v>DI</v>
      </c>
      <c r="E281" t="str">
        <f>"C:\TOC3201\Methods\Itamar\acid_sample.met"</f>
        <v>C:\TOC3201\Methods\Itamar\acid_sample.met</v>
      </c>
      <c r="F281" t="str">
        <f>"C:\TOC3201\CalCurves\Itamar\C_cal_100ppm_acid_laurel.2019_08_21_13_17_46.cal"</f>
        <v>C:\TOC3201\CalCurves\Itamar\C_cal_100ppm_acid_laurel.2019_08_21_13_17_46.cal</v>
      </c>
      <c r="G281">
        <v>1</v>
      </c>
      <c r="H281" t="str">
        <f>""</f>
        <v/>
      </c>
      <c r="I281" t="str">
        <f>"8/22/2019 3:55:43 AM"</f>
        <v>8/22/2019 3:55:43 AM</v>
      </c>
      <c r="J281" t="str">
        <f>"1"</f>
        <v>1</v>
      </c>
      <c r="K281" t="str">
        <f>"4"</f>
        <v>4</v>
      </c>
      <c r="L281" t="str">
        <f>"NPOC"</f>
        <v>NPOC</v>
      </c>
      <c r="M281" t="str">
        <f>"46.29"</f>
        <v>46.29</v>
      </c>
      <c r="N281" t="str">
        <f>"9.140"</f>
        <v>9.140</v>
      </c>
      <c r="O281" t="str">
        <f>"NPOC:9.067mg/L TN:0.7887mg/L"</f>
        <v>NPOC:9.067mg/L TN:0.7887mg/L</v>
      </c>
      <c r="P281">
        <v>0</v>
      </c>
      <c r="Q281" t="str">
        <f>"80"</f>
        <v>80</v>
      </c>
    </row>
    <row r="282" spans="1:17" x14ac:dyDescent="0.2">
      <c r="A282" t="str">
        <f>"Unknown"</f>
        <v>Unknown</v>
      </c>
      <c r="B282" t="str">
        <f>"NPOC/TN"</f>
        <v>NPOC/TN</v>
      </c>
      <c r="C282" t="str">
        <f>"1150"</f>
        <v>1150</v>
      </c>
      <c r="D282" t="str">
        <f>"DI"</f>
        <v>DI</v>
      </c>
      <c r="E282" t="str">
        <f>"C:\TOC3201\Methods\Itamar\acid_sample.met"</f>
        <v>C:\TOC3201\Methods\Itamar\acid_sample.met</v>
      </c>
      <c r="F282" t="str">
        <f>"C:\TOC3201\CalCurves\Itamar\N_cal_25ppm_acid_laurel.2019_08_21_15_23_49.cal"</f>
        <v>C:\TOC3201\CalCurves\Itamar\N_cal_25ppm_acid_laurel.2019_08_21_15_23_49.cal</v>
      </c>
      <c r="G282">
        <v>1</v>
      </c>
      <c r="H282" t="str">
        <f>""</f>
        <v/>
      </c>
      <c r="I282" t="str">
        <f>"8/22/2019 3:44:57 AM"</f>
        <v>8/22/2019 3:44:57 AM</v>
      </c>
      <c r="J282" t="str">
        <f>"1"</f>
        <v>1</v>
      </c>
      <c r="K282" t="str">
        <f>"1"</f>
        <v>1</v>
      </c>
      <c r="L282" t="str">
        <f>"TN"</f>
        <v>TN</v>
      </c>
      <c r="M282" t="str">
        <f>"2.276"</f>
        <v>2.276</v>
      </c>
      <c r="N282" t="str">
        <f>"0.7786"</f>
        <v>0.7786</v>
      </c>
      <c r="O282" t="str">
        <f>"NPOC:9.067mg/L TN:0.7887mg/L"</f>
        <v>NPOC:9.067mg/L TN:0.7887mg/L</v>
      </c>
      <c r="P282">
        <v>0</v>
      </c>
      <c r="Q282" t="str">
        <f>"80"</f>
        <v>80</v>
      </c>
    </row>
    <row r="283" spans="1:17" x14ac:dyDescent="0.2">
      <c r="A283" t="str">
        <f>"Unknown"</f>
        <v>Unknown</v>
      </c>
      <c r="B283" t="str">
        <f>"NPOC/TN"</f>
        <v>NPOC/TN</v>
      </c>
      <c r="C283" t="str">
        <f>"1150"</f>
        <v>1150</v>
      </c>
      <c r="D283" t="str">
        <f>"DI"</f>
        <v>DI</v>
      </c>
      <c r="E283" t="str">
        <f>"C:\TOC3201\Methods\Itamar\acid_sample.met"</f>
        <v>C:\TOC3201\Methods\Itamar\acid_sample.met</v>
      </c>
      <c r="F283" t="str">
        <f>"C:\TOC3201\CalCurves\Itamar\N_cal_25ppm_acid_laurel.2019_08_21_15_23_49.cal"</f>
        <v>C:\TOC3201\CalCurves\Itamar\N_cal_25ppm_acid_laurel.2019_08_21_15_23_49.cal</v>
      </c>
      <c r="G283">
        <v>1</v>
      </c>
      <c r="H283" t="str">
        <f>""</f>
        <v/>
      </c>
      <c r="I283" t="str">
        <f>"8/22/2019 3:48:34 AM"</f>
        <v>8/22/2019 3:48:34 AM</v>
      </c>
      <c r="J283" t="str">
        <f>"1"</f>
        <v>1</v>
      </c>
      <c r="K283" t="str">
        <f>"2"</f>
        <v>2</v>
      </c>
      <c r="L283" t="str">
        <f>"TN"</f>
        <v>TN</v>
      </c>
      <c r="M283" t="str">
        <f>"2.269"</f>
        <v>2.269</v>
      </c>
      <c r="N283" t="str">
        <f>"0.7767"</f>
        <v>0.7767</v>
      </c>
      <c r="O283" t="str">
        <f>"NPOC:9.067mg/L TN:0.7887mg/L"</f>
        <v>NPOC:9.067mg/L TN:0.7887mg/L</v>
      </c>
      <c r="P283">
        <v>0</v>
      </c>
      <c r="Q283" t="str">
        <f>"80"</f>
        <v>80</v>
      </c>
    </row>
    <row r="284" spans="1:17" x14ac:dyDescent="0.2">
      <c r="A284" t="str">
        <f>"Unknown"</f>
        <v>Unknown</v>
      </c>
      <c r="B284" t="str">
        <f>"NPOC/TN"</f>
        <v>NPOC/TN</v>
      </c>
      <c r="C284" t="str">
        <f>"1150"</f>
        <v>1150</v>
      </c>
      <c r="D284" t="str">
        <f>"DI"</f>
        <v>DI</v>
      </c>
      <c r="E284" t="str">
        <f>"C:\TOC3201\Methods\Itamar\acid_sample.met"</f>
        <v>C:\TOC3201\Methods\Itamar\acid_sample.met</v>
      </c>
      <c r="F284" t="str">
        <f>"C:\TOC3201\CalCurves\Itamar\N_cal_25ppm_acid_laurel.2019_08_21_15_23_49.cal"</f>
        <v>C:\TOC3201\CalCurves\Itamar\N_cal_25ppm_acid_laurel.2019_08_21_15_23_49.cal</v>
      </c>
      <c r="G284">
        <v>1</v>
      </c>
      <c r="H284" t="str">
        <f>""</f>
        <v/>
      </c>
      <c r="I284" t="str">
        <f>"8/22/2019 3:52:11 AM"</f>
        <v>8/22/2019 3:52:11 AM</v>
      </c>
      <c r="J284" t="str">
        <f>"1"</f>
        <v>1</v>
      </c>
      <c r="K284" t="str">
        <f>"3"</f>
        <v>3</v>
      </c>
      <c r="L284" t="str">
        <f>"TN"</f>
        <v>TN</v>
      </c>
      <c r="M284" t="str">
        <f>"2.001"</f>
        <v>2.001</v>
      </c>
      <c r="N284" t="str">
        <f>"0.7032"</f>
        <v>0.7032</v>
      </c>
      <c r="O284" t="str">
        <f>"NPOC:9.067mg/L TN:0.7887mg/L"</f>
        <v>NPOC:9.067mg/L TN:0.7887mg/L</v>
      </c>
      <c r="P284">
        <v>1</v>
      </c>
      <c r="Q284" t="str">
        <f>"80"</f>
        <v>80</v>
      </c>
    </row>
    <row r="285" spans="1:17" x14ac:dyDescent="0.2">
      <c r="A285" t="str">
        <f>"Unknown"</f>
        <v>Unknown</v>
      </c>
      <c r="B285" t="str">
        <f>"NPOC/TN"</f>
        <v>NPOC/TN</v>
      </c>
      <c r="C285" t="str">
        <f>"1150"</f>
        <v>1150</v>
      </c>
      <c r="D285" t="str">
        <f>"DI"</f>
        <v>DI</v>
      </c>
      <c r="E285" t="str">
        <f>"C:\TOC3201\Methods\Itamar\acid_sample.met"</f>
        <v>C:\TOC3201\Methods\Itamar\acid_sample.met</v>
      </c>
      <c r="F285" t="str">
        <f>"C:\TOC3201\CalCurves\Itamar\N_cal_25ppm_acid_laurel.2019_08_21_15_23_49.cal"</f>
        <v>C:\TOC3201\CalCurves\Itamar\N_cal_25ppm_acid_laurel.2019_08_21_15_23_49.cal</v>
      </c>
      <c r="G285">
        <v>1</v>
      </c>
      <c r="H285" t="str">
        <f>""</f>
        <v/>
      </c>
      <c r="I285" t="str">
        <f>"8/22/2019 3:55:43 AM"</f>
        <v>8/22/2019 3:55:43 AM</v>
      </c>
      <c r="J285" t="str">
        <f>"1"</f>
        <v>1</v>
      </c>
      <c r="K285" t="str">
        <f>"4"</f>
        <v>4</v>
      </c>
      <c r="L285" t="str">
        <f>"TN"</f>
        <v>TN</v>
      </c>
      <c r="M285" t="str">
        <f>"1.750"</f>
        <v>1.750</v>
      </c>
      <c r="N285" t="str">
        <f>"0.6344"</f>
        <v>0.6344</v>
      </c>
      <c r="O285" t="str">
        <f>"NPOC:9.067mg/L TN:0.7887mg/L"</f>
        <v>NPOC:9.067mg/L TN:0.7887mg/L</v>
      </c>
      <c r="P285">
        <v>1</v>
      </c>
      <c r="Q285" t="str">
        <f>"80"</f>
        <v>80</v>
      </c>
    </row>
    <row r="286" spans="1:17" x14ac:dyDescent="0.2">
      <c r="A286" t="str">
        <f>"Unknown"</f>
        <v>Unknown</v>
      </c>
      <c r="B286" t="str">
        <f>"NPOC/TN"</f>
        <v>NPOC/TN</v>
      </c>
      <c r="C286" t="str">
        <f>"1150"</f>
        <v>1150</v>
      </c>
      <c r="D286" t="str">
        <f>"DI"</f>
        <v>DI</v>
      </c>
      <c r="E286" t="str">
        <f>"C:\TOC3201\Methods\Itamar\acid_sample.met"</f>
        <v>C:\TOC3201\Methods\Itamar\acid_sample.met</v>
      </c>
      <c r="F286" t="str">
        <f>"C:\TOC3201\CalCurves\Itamar\N_cal_25ppm_acid_laurel.2019_08_21_15_23_49.cal"</f>
        <v>C:\TOC3201\CalCurves\Itamar\N_cal_25ppm_acid_laurel.2019_08_21_15_23_49.cal</v>
      </c>
      <c r="G286">
        <v>1</v>
      </c>
      <c r="H286" t="str">
        <f>""</f>
        <v/>
      </c>
      <c r="I286" t="str">
        <f>"8/22/2019 3:58:45 AM"</f>
        <v>8/22/2019 3:58:45 AM</v>
      </c>
      <c r="J286" t="str">
        <f>"1"</f>
        <v>1</v>
      </c>
      <c r="K286" t="str">
        <f>"5"</f>
        <v>5</v>
      </c>
      <c r="L286" t="str">
        <f>"TN"</f>
        <v>TN</v>
      </c>
      <c r="M286" t="str">
        <f>"2.393"</f>
        <v>2.393</v>
      </c>
      <c r="N286" t="str">
        <f>"0.8107"</f>
        <v>0.8107</v>
      </c>
      <c r="O286" t="str">
        <f>"NPOC:9.067mg/L TN:0.7887mg/L"</f>
        <v>NPOC:9.067mg/L TN:0.7887mg/L</v>
      </c>
      <c r="P286">
        <v>0</v>
      </c>
      <c r="Q286" t="str">
        <f>"80"</f>
        <v>80</v>
      </c>
    </row>
    <row r="287" spans="1:17" x14ac:dyDescent="0.2">
      <c r="A287" t="str">
        <f>"Unknown"</f>
        <v>Unknown</v>
      </c>
      <c r="B287" t="str">
        <f>"NPOC/TN"</f>
        <v>NPOC/TN</v>
      </c>
      <c r="C287" t="str">
        <f>"1152"</f>
        <v>1152</v>
      </c>
      <c r="D287" t="str">
        <f>"DI"</f>
        <v>DI</v>
      </c>
      <c r="E287" t="str">
        <f>"C:\TOC3201\Methods\Itamar\acid_sample.met"</f>
        <v>C:\TOC3201\Methods\Itamar\acid_sample.met</v>
      </c>
      <c r="F287" t="str">
        <f>"C:\TOC3201\CalCurves\Itamar\C_cal_100ppm_acid_laurel.2019_08_21_13_17_46.cal"</f>
        <v>C:\TOC3201\CalCurves\Itamar\C_cal_100ppm_acid_laurel.2019_08_21_13_17_46.cal</v>
      </c>
      <c r="G287">
        <v>1</v>
      </c>
      <c r="H287" t="str">
        <f>""</f>
        <v/>
      </c>
      <c r="I287" t="str">
        <f>"8/22/2019 4:08:50 AM"</f>
        <v>8/22/2019 4:08:50 AM</v>
      </c>
      <c r="J287" t="str">
        <f>"1"</f>
        <v>1</v>
      </c>
      <c r="K287" t="str">
        <f>"1"</f>
        <v>1</v>
      </c>
      <c r="L287" t="str">
        <f>"NPOC"</f>
        <v>NPOC</v>
      </c>
      <c r="M287" t="str">
        <f>"41.99"</f>
        <v>41.99</v>
      </c>
      <c r="N287" t="str">
        <f>"8.260"</f>
        <v>8.260</v>
      </c>
      <c r="O287" t="str">
        <f>"NPOC:8.354mg/L TN:0.6791mg/L"</f>
        <v>NPOC:8.354mg/L TN:0.6791mg/L</v>
      </c>
      <c r="P287">
        <v>0</v>
      </c>
      <c r="Q287" t="str">
        <f>"80"</f>
        <v>80</v>
      </c>
    </row>
    <row r="288" spans="1:17" x14ac:dyDescent="0.2">
      <c r="A288" t="str">
        <f>"Unknown"</f>
        <v>Unknown</v>
      </c>
      <c r="B288" t="str">
        <f>"NPOC/TN"</f>
        <v>NPOC/TN</v>
      </c>
      <c r="C288" t="str">
        <f>"1152"</f>
        <v>1152</v>
      </c>
      <c r="D288" t="str">
        <f>"DI"</f>
        <v>DI</v>
      </c>
      <c r="E288" t="str">
        <f>"C:\TOC3201\Methods\Itamar\acid_sample.met"</f>
        <v>C:\TOC3201\Methods\Itamar\acid_sample.met</v>
      </c>
      <c r="F288" t="str">
        <f>"C:\TOC3201\CalCurves\Itamar\C_cal_100ppm_acid_laurel.2019_08_21_13_17_46.cal"</f>
        <v>C:\TOC3201\CalCurves\Itamar\C_cal_100ppm_acid_laurel.2019_08_21_13_17_46.cal</v>
      </c>
      <c r="G288">
        <v>1</v>
      </c>
      <c r="H288" t="str">
        <f>""</f>
        <v/>
      </c>
      <c r="I288" t="str">
        <f>"8/22/2019 4:12:21 AM"</f>
        <v>8/22/2019 4:12:21 AM</v>
      </c>
      <c r="J288" t="str">
        <f>"1"</f>
        <v>1</v>
      </c>
      <c r="K288" t="str">
        <f>"2"</f>
        <v>2</v>
      </c>
      <c r="L288" t="str">
        <f>"NPOC"</f>
        <v>NPOC</v>
      </c>
      <c r="M288" t="str">
        <f>"42.10"</f>
        <v>42.10</v>
      </c>
      <c r="N288" t="str">
        <f>"8.283"</f>
        <v>8.283</v>
      </c>
      <c r="O288" t="str">
        <f>"NPOC:8.354mg/L TN:0.6791mg/L"</f>
        <v>NPOC:8.354mg/L TN:0.6791mg/L</v>
      </c>
      <c r="P288">
        <v>0</v>
      </c>
      <c r="Q288" t="str">
        <f>"80"</f>
        <v>80</v>
      </c>
    </row>
    <row r="289" spans="1:17" x14ac:dyDescent="0.2">
      <c r="A289" t="str">
        <f>"Unknown"</f>
        <v>Unknown</v>
      </c>
      <c r="B289" t="str">
        <f>"NPOC/TN"</f>
        <v>NPOC/TN</v>
      </c>
      <c r="C289" t="str">
        <f>"1152"</f>
        <v>1152</v>
      </c>
      <c r="D289" t="str">
        <f>"DI"</f>
        <v>DI</v>
      </c>
      <c r="E289" t="str">
        <f>"C:\TOC3201\Methods\Itamar\acid_sample.met"</f>
        <v>C:\TOC3201\Methods\Itamar\acid_sample.met</v>
      </c>
      <c r="F289" t="str">
        <f>"C:\TOC3201\CalCurves\Itamar\C_cal_100ppm_acid_laurel.2019_08_21_13_17_46.cal"</f>
        <v>C:\TOC3201\CalCurves\Itamar\C_cal_100ppm_acid_laurel.2019_08_21_13_17_46.cal</v>
      </c>
      <c r="G289">
        <v>1</v>
      </c>
      <c r="H289" t="str">
        <f>""</f>
        <v/>
      </c>
      <c r="I289" t="str">
        <f>"8/22/2019 4:15:54 AM"</f>
        <v>8/22/2019 4:15:54 AM</v>
      </c>
      <c r="J289" t="str">
        <f>"1"</f>
        <v>1</v>
      </c>
      <c r="K289" t="str">
        <f>"3"</f>
        <v>3</v>
      </c>
      <c r="L289" t="str">
        <f>"NPOC"</f>
        <v>NPOC</v>
      </c>
      <c r="M289" t="str">
        <f>"43.26"</f>
        <v>43.26</v>
      </c>
      <c r="N289" t="str">
        <f>"8.520"</f>
        <v>8.520</v>
      </c>
      <c r="O289" t="str">
        <f>"NPOC:8.354mg/L TN:0.6791mg/L"</f>
        <v>NPOC:8.354mg/L TN:0.6791mg/L</v>
      </c>
      <c r="P289">
        <v>0</v>
      </c>
      <c r="Q289" t="str">
        <f>"80"</f>
        <v>80</v>
      </c>
    </row>
    <row r="290" spans="1:17" x14ac:dyDescent="0.2">
      <c r="A290" t="str">
        <f>"Unknown"</f>
        <v>Unknown</v>
      </c>
      <c r="B290" t="str">
        <f>"NPOC/TN"</f>
        <v>NPOC/TN</v>
      </c>
      <c r="C290" t="str">
        <f>"1152"</f>
        <v>1152</v>
      </c>
      <c r="D290" t="str">
        <f>"DI"</f>
        <v>DI</v>
      </c>
      <c r="E290" t="str">
        <f>"C:\TOC3201\Methods\Itamar\acid_sample.met"</f>
        <v>C:\TOC3201\Methods\Itamar\acid_sample.met</v>
      </c>
      <c r="F290" t="str">
        <f>"C:\TOC3201\CalCurves\Itamar\N_cal_25ppm_acid_laurel.2019_08_21_15_23_49.cal"</f>
        <v>C:\TOC3201\CalCurves\Itamar\N_cal_25ppm_acid_laurel.2019_08_21_15_23_49.cal</v>
      </c>
      <c r="G290">
        <v>1</v>
      </c>
      <c r="H290" t="str">
        <f>""</f>
        <v/>
      </c>
      <c r="I290" t="str">
        <f>"8/22/2019 4:08:50 AM"</f>
        <v>8/22/2019 4:08:50 AM</v>
      </c>
      <c r="J290" t="str">
        <f>"1"</f>
        <v>1</v>
      </c>
      <c r="K290" t="str">
        <f>"1"</f>
        <v>1</v>
      </c>
      <c r="L290" t="str">
        <f>"TN"</f>
        <v>TN</v>
      </c>
      <c r="M290" t="str">
        <f>"2.259"</f>
        <v>2.259</v>
      </c>
      <c r="N290" t="str">
        <f>"0.7740"</f>
        <v>0.7740</v>
      </c>
      <c r="O290" t="str">
        <f>"NPOC:8.354mg/L TN:0.6791mg/L"</f>
        <v>NPOC:8.354mg/L TN:0.6791mg/L</v>
      </c>
      <c r="P290">
        <v>1</v>
      </c>
      <c r="Q290" t="str">
        <f>"80"</f>
        <v>80</v>
      </c>
    </row>
    <row r="291" spans="1:17" x14ac:dyDescent="0.2">
      <c r="A291" t="str">
        <f>"Unknown"</f>
        <v>Unknown</v>
      </c>
      <c r="B291" t="str">
        <f>"NPOC/TN"</f>
        <v>NPOC/TN</v>
      </c>
      <c r="C291" t="str">
        <f>"1152"</f>
        <v>1152</v>
      </c>
      <c r="D291" t="str">
        <f>"DI"</f>
        <v>DI</v>
      </c>
      <c r="E291" t="str">
        <f>"C:\TOC3201\Methods\Itamar\acid_sample.met"</f>
        <v>C:\TOC3201\Methods\Itamar\acid_sample.met</v>
      </c>
      <c r="F291" t="str">
        <f>"C:\TOC3201\CalCurves\Itamar\N_cal_25ppm_acid_laurel.2019_08_21_15_23_49.cal"</f>
        <v>C:\TOC3201\CalCurves\Itamar\N_cal_25ppm_acid_laurel.2019_08_21_15_23_49.cal</v>
      </c>
      <c r="G291">
        <v>1</v>
      </c>
      <c r="H291" t="str">
        <f>""</f>
        <v/>
      </c>
      <c r="I291" t="str">
        <f>"8/22/2019 4:12:21 AM"</f>
        <v>8/22/2019 4:12:21 AM</v>
      </c>
      <c r="J291" t="str">
        <f>"1"</f>
        <v>1</v>
      </c>
      <c r="K291" t="str">
        <f>"2"</f>
        <v>2</v>
      </c>
      <c r="L291" t="str">
        <f>"TN"</f>
        <v>TN</v>
      </c>
      <c r="M291" t="str">
        <f>"1.626"</f>
        <v>1.626</v>
      </c>
      <c r="N291" t="str">
        <f>"0.6003"</f>
        <v>0.6003</v>
      </c>
      <c r="O291" t="str">
        <f>"NPOC:8.354mg/L TN:0.6791mg/L"</f>
        <v>NPOC:8.354mg/L TN:0.6791mg/L</v>
      </c>
      <c r="P291">
        <v>1</v>
      </c>
      <c r="Q291" t="str">
        <f>"80"</f>
        <v>80</v>
      </c>
    </row>
    <row r="292" spans="1:17" x14ac:dyDescent="0.2">
      <c r="A292" t="str">
        <f>"Unknown"</f>
        <v>Unknown</v>
      </c>
      <c r="B292" t="str">
        <f>"NPOC/TN"</f>
        <v>NPOC/TN</v>
      </c>
      <c r="C292" t="str">
        <f>"1152"</f>
        <v>1152</v>
      </c>
      <c r="D292" t="str">
        <f>"DI"</f>
        <v>DI</v>
      </c>
      <c r="E292" t="str">
        <f>"C:\TOC3201\Methods\Itamar\acid_sample.met"</f>
        <v>C:\TOC3201\Methods\Itamar\acid_sample.met</v>
      </c>
      <c r="F292" t="str">
        <f>"C:\TOC3201\CalCurves\Itamar\N_cal_25ppm_acid_laurel.2019_08_21_15_23_49.cal"</f>
        <v>C:\TOC3201\CalCurves\Itamar\N_cal_25ppm_acid_laurel.2019_08_21_15_23_49.cal</v>
      </c>
      <c r="G292">
        <v>1</v>
      </c>
      <c r="H292" t="str">
        <f>""</f>
        <v/>
      </c>
      <c r="I292" t="str">
        <f>"8/22/2019 4:15:54 AM"</f>
        <v>8/22/2019 4:15:54 AM</v>
      </c>
      <c r="J292" t="str">
        <f>"1"</f>
        <v>1</v>
      </c>
      <c r="K292" t="str">
        <f>"3"</f>
        <v>3</v>
      </c>
      <c r="L292" t="str">
        <f>"TN"</f>
        <v>TN</v>
      </c>
      <c r="M292" t="str">
        <f>"1.780"</f>
        <v>1.780</v>
      </c>
      <c r="N292" t="str">
        <f>"0.6426"</f>
        <v>0.6426</v>
      </c>
      <c r="O292" t="str">
        <f>"NPOC:8.354mg/L TN:0.6791mg/L"</f>
        <v>NPOC:8.354mg/L TN:0.6791mg/L</v>
      </c>
      <c r="P292">
        <v>0</v>
      </c>
      <c r="Q292" t="str">
        <f>"80"</f>
        <v>80</v>
      </c>
    </row>
    <row r="293" spans="1:17" x14ac:dyDescent="0.2">
      <c r="A293" t="str">
        <f>"Unknown"</f>
        <v>Unknown</v>
      </c>
      <c r="B293" t="str">
        <f>"NPOC/TN"</f>
        <v>NPOC/TN</v>
      </c>
      <c r="C293" t="str">
        <f>"1152"</f>
        <v>1152</v>
      </c>
      <c r="D293" t="str">
        <f>"DI"</f>
        <v>DI</v>
      </c>
      <c r="E293" t="str">
        <f>"C:\TOC3201\Methods\Itamar\acid_sample.met"</f>
        <v>C:\TOC3201\Methods\Itamar\acid_sample.met</v>
      </c>
      <c r="F293" t="str">
        <f>"C:\TOC3201\CalCurves\Itamar\N_cal_25ppm_acid_laurel.2019_08_21_15_23_49.cal"</f>
        <v>C:\TOC3201\CalCurves\Itamar\N_cal_25ppm_acid_laurel.2019_08_21_15_23_49.cal</v>
      </c>
      <c r="G293">
        <v>1</v>
      </c>
      <c r="H293" t="str">
        <f>""</f>
        <v/>
      </c>
      <c r="I293" t="str">
        <f>"8/22/2019 4:18:53 AM"</f>
        <v>8/22/2019 4:18:53 AM</v>
      </c>
      <c r="J293" t="str">
        <f>"1"</f>
        <v>1</v>
      </c>
      <c r="K293" t="str">
        <f>"4"</f>
        <v>4</v>
      </c>
      <c r="L293" t="str">
        <f>"TN"</f>
        <v>TN</v>
      </c>
      <c r="M293" t="str">
        <f>"1.982"</f>
        <v>1.982</v>
      </c>
      <c r="N293" t="str">
        <f>"0.6980"</f>
        <v>0.6980</v>
      </c>
      <c r="O293" t="str">
        <f>"NPOC:8.354mg/L TN:0.6791mg/L"</f>
        <v>NPOC:8.354mg/L TN:0.6791mg/L</v>
      </c>
      <c r="P293">
        <v>0</v>
      </c>
      <c r="Q293" t="str">
        <f>"80"</f>
        <v>80</v>
      </c>
    </row>
    <row r="294" spans="1:17" x14ac:dyDescent="0.2">
      <c r="A294" t="str">
        <f>"Unknown"</f>
        <v>Unknown</v>
      </c>
      <c r="B294" t="str">
        <f>"NPOC/TN"</f>
        <v>NPOC/TN</v>
      </c>
      <c r="C294" t="str">
        <f>"1152"</f>
        <v>1152</v>
      </c>
      <c r="D294" t="str">
        <f>"DI"</f>
        <v>DI</v>
      </c>
      <c r="E294" t="str">
        <f>"C:\TOC3201\Methods\Itamar\acid_sample.met"</f>
        <v>C:\TOC3201\Methods\Itamar\acid_sample.met</v>
      </c>
      <c r="F294" t="str">
        <f>"C:\TOC3201\CalCurves\Itamar\N_cal_25ppm_acid_laurel.2019_08_21_15_23_49.cal"</f>
        <v>C:\TOC3201\CalCurves\Itamar\N_cal_25ppm_acid_laurel.2019_08_21_15_23_49.cal</v>
      </c>
      <c r="G294">
        <v>1</v>
      </c>
      <c r="H294" t="str">
        <f>""</f>
        <v/>
      </c>
      <c r="I294" t="str">
        <f>"8/22/2019 4:21:55 AM"</f>
        <v>8/22/2019 4:21:55 AM</v>
      </c>
      <c r="J294" t="str">
        <f>"1"</f>
        <v>1</v>
      </c>
      <c r="K294" t="str">
        <f>"5"</f>
        <v>5</v>
      </c>
      <c r="L294" t="str">
        <f>"TN"</f>
        <v>TN</v>
      </c>
      <c r="M294" t="str">
        <f>"1.977"</f>
        <v>1.977</v>
      </c>
      <c r="N294" t="str">
        <f>"0.6966"</f>
        <v>0.6966</v>
      </c>
      <c r="O294" t="str">
        <f>"NPOC:8.354mg/L TN:0.6791mg/L"</f>
        <v>NPOC:8.354mg/L TN:0.6791mg/L</v>
      </c>
      <c r="P294">
        <v>0</v>
      </c>
      <c r="Q294" t="str">
        <f>"80"</f>
        <v>80</v>
      </c>
    </row>
    <row r="295" spans="1:17" x14ac:dyDescent="0.2">
      <c r="A295" t="str">
        <f>"Unknown"</f>
        <v>Unknown</v>
      </c>
      <c r="B295" t="str">
        <f>"NPOC/TN"</f>
        <v>NPOC/TN</v>
      </c>
      <c r="C295" t="str">
        <f>"1154"</f>
        <v>1154</v>
      </c>
      <c r="D295" t="str">
        <f>"DI"</f>
        <v>DI</v>
      </c>
      <c r="E295" t="str">
        <f>"C:\TOC3201\Methods\Itamar\acid_sample.met"</f>
        <v>C:\TOC3201\Methods\Itamar\acid_sample.met</v>
      </c>
      <c r="F295" t="str">
        <f>"C:\TOC3201\CalCurves\Itamar\C_cal_100ppm_acid_laurel.2019_08_21_13_17_46.cal"</f>
        <v>C:\TOC3201\CalCurves\Itamar\C_cal_100ppm_acid_laurel.2019_08_21_13_17_46.cal</v>
      </c>
      <c r="G295">
        <v>1</v>
      </c>
      <c r="H295" t="str">
        <f>""</f>
        <v/>
      </c>
      <c r="I295" t="str">
        <f>"8/22/2019 4:32:35 AM"</f>
        <v>8/22/2019 4:32:35 AM</v>
      </c>
      <c r="J295" t="str">
        <f>"1"</f>
        <v>1</v>
      </c>
      <c r="K295" t="str">
        <f>"1"</f>
        <v>1</v>
      </c>
      <c r="L295" t="str">
        <f>"NPOC"</f>
        <v>NPOC</v>
      </c>
      <c r="M295" t="str">
        <f>"186.9"</f>
        <v>186.9</v>
      </c>
      <c r="N295" t="str">
        <f>"37.89"</f>
        <v>37.89</v>
      </c>
      <c r="O295" t="str">
        <f>"NPOC:37.60mg/L TN:6.373mg/L"</f>
        <v>NPOC:37.60mg/L TN:6.373mg/L</v>
      </c>
      <c r="P295">
        <v>0</v>
      </c>
      <c r="Q295" t="str">
        <f>"80"</f>
        <v>80</v>
      </c>
    </row>
    <row r="296" spans="1:17" x14ac:dyDescent="0.2">
      <c r="A296" t="str">
        <f>"Unknown"</f>
        <v>Unknown</v>
      </c>
      <c r="B296" t="str">
        <f>"NPOC/TN"</f>
        <v>NPOC/TN</v>
      </c>
      <c r="C296" t="str">
        <f>"1154"</f>
        <v>1154</v>
      </c>
      <c r="D296" t="str">
        <f>"DI"</f>
        <v>DI</v>
      </c>
      <c r="E296" t="str">
        <f>"C:\TOC3201\Methods\Itamar\acid_sample.met"</f>
        <v>C:\TOC3201\Methods\Itamar\acid_sample.met</v>
      </c>
      <c r="F296" t="str">
        <f>"C:\TOC3201\CalCurves\Itamar\C_cal_100ppm_acid_laurel.2019_08_21_13_17_46.cal"</f>
        <v>C:\TOC3201\CalCurves\Itamar\C_cal_100ppm_acid_laurel.2019_08_21_13_17_46.cal</v>
      </c>
      <c r="G296">
        <v>1</v>
      </c>
      <c r="H296" t="str">
        <f>""</f>
        <v/>
      </c>
      <c r="I296" t="str">
        <f>"8/22/2019 4:36:43 AM"</f>
        <v>8/22/2019 4:36:43 AM</v>
      </c>
      <c r="J296" t="str">
        <f>"1"</f>
        <v>1</v>
      </c>
      <c r="K296" t="str">
        <f>"2"</f>
        <v>2</v>
      </c>
      <c r="L296" t="str">
        <f>"NPOC"</f>
        <v>NPOC</v>
      </c>
      <c r="M296" t="str">
        <f>"185.0"</f>
        <v>185.0</v>
      </c>
      <c r="N296" t="str">
        <f>"37.50"</f>
        <v>37.50</v>
      </c>
      <c r="O296" t="str">
        <f>"NPOC:37.60mg/L TN:6.373mg/L"</f>
        <v>NPOC:37.60mg/L TN:6.373mg/L</v>
      </c>
      <c r="P296">
        <v>0</v>
      </c>
      <c r="Q296" t="str">
        <f>"80"</f>
        <v>80</v>
      </c>
    </row>
    <row r="297" spans="1:17" x14ac:dyDescent="0.2">
      <c r="A297" t="str">
        <f>"Unknown"</f>
        <v>Unknown</v>
      </c>
      <c r="B297" t="str">
        <f>"NPOC/TN"</f>
        <v>NPOC/TN</v>
      </c>
      <c r="C297" t="str">
        <f>"1154"</f>
        <v>1154</v>
      </c>
      <c r="D297" t="str">
        <f>"DI"</f>
        <v>DI</v>
      </c>
      <c r="E297" t="str">
        <f>"C:\TOC3201\Methods\Itamar\acid_sample.met"</f>
        <v>C:\TOC3201\Methods\Itamar\acid_sample.met</v>
      </c>
      <c r="F297" t="str">
        <f>"C:\TOC3201\CalCurves\Itamar\C_cal_100ppm_acid_laurel.2019_08_21_13_17_46.cal"</f>
        <v>C:\TOC3201\CalCurves\Itamar\C_cal_100ppm_acid_laurel.2019_08_21_13_17_46.cal</v>
      </c>
      <c r="G297">
        <v>1</v>
      </c>
      <c r="H297" t="str">
        <f>""</f>
        <v/>
      </c>
      <c r="I297" t="str">
        <f>"8/22/2019 4:41:02 AM"</f>
        <v>8/22/2019 4:41:02 AM</v>
      </c>
      <c r="J297" t="str">
        <f>"1"</f>
        <v>1</v>
      </c>
      <c r="K297" t="str">
        <f>"3"</f>
        <v>3</v>
      </c>
      <c r="L297" t="str">
        <f>"NPOC"</f>
        <v>NPOC</v>
      </c>
      <c r="M297" t="str">
        <f>"197.6"</f>
        <v>197.6</v>
      </c>
      <c r="N297" t="str">
        <f>"40.08"</f>
        <v>40.08</v>
      </c>
      <c r="O297" t="str">
        <f>"NPOC:37.60mg/L TN:6.373mg/L"</f>
        <v>NPOC:37.60mg/L TN:6.373mg/L</v>
      </c>
      <c r="P297">
        <v>1</v>
      </c>
      <c r="Q297" t="str">
        <f>"80"</f>
        <v>80</v>
      </c>
    </row>
    <row r="298" spans="1:17" x14ac:dyDescent="0.2">
      <c r="A298" t="str">
        <f>"Unknown"</f>
        <v>Unknown</v>
      </c>
      <c r="B298" t="str">
        <f>"NPOC/TN"</f>
        <v>NPOC/TN</v>
      </c>
      <c r="C298" t="str">
        <f>"1154"</f>
        <v>1154</v>
      </c>
      <c r="D298" t="str">
        <f>"DI"</f>
        <v>DI</v>
      </c>
      <c r="E298" t="str">
        <f>"C:\TOC3201\Methods\Itamar\acid_sample.met"</f>
        <v>C:\TOC3201\Methods\Itamar\acid_sample.met</v>
      </c>
      <c r="F298" t="str">
        <f>"C:\TOC3201\CalCurves\Itamar\C_cal_100ppm_acid_laurel.2019_08_21_13_17_46.cal"</f>
        <v>C:\TOC3201\CalCurves\Itamar\C_cal_100ppm_acid_laurel.2019_08_21_13_17_46.cal</v>
      </c>
      <c r="G298">
        <v>1</v>
      </c>
      <c r="H298" t="str">
        <f>""</f>
        <v/>
      </c>
      <c r="I298" t="str">
        <f>"8/22/2019 4:45:04 AM"</f>
        <v>8/22/2019 4:45:04 AM</v>
      </c>
      <c r="J298" t="str">
        <f>"1"</f>
        <v>1</v>
      </c>
      <c r="K298" t="str">
        <f>"4"</f>
        <v>4</v>
      </c>
      <c r="L298" t="str">
        <f>"NPOC"</f>
        <v>NPOC</v>
      </c>
      <c r="M298" t="str">
        <f>"193.5"</f>
        <v>193.5</v>
      </c>
      <c r="N298" t="str">
        <f>"39.24"</f>
        <v>39.24</v>
      </c>
      <c r="O298" t="str">
        <f>"NPOC:37.60mg/L TN:6.373mg/L"</f>
        <v>NPOC:37.60mg/L TN:6.373mg/L</v>
      </c>
      <c r="P298">
        <v>1</v>
      </c>
      <c r="Q298" t="str">
        <f>"80"</f>
        <v>80</v>
      </c>
    </row>
    <row r="299" spans="1:17" x14ac:dyDescent="0.2">
      <c r="A299" t="str">
        <f>"Unknown"</f>
        <v>Unknown</v>
      </c>
      <c r="B299" t="str">
        <f>"NPOC/TN"</f>
        <v>NPOC/TN</v>
      </c>
      <c r="C299" t="str">
        <f>"1154"</f>
        <v>1154</v>
      </c>
      <c r="D299" t="str">
        <f>"DI"</f>
        <v>DI</v>
      </c>
      <c r="E299" t="str">
        <f>"C:\TOC3201\Methods\Itamar\acid_sample.met"</f>
        <v>C:\TOC3201\Methods\Itamar\acid_sample.met</v>
      </c>
      <c r="F299" t="str">
        <f>"C:\TOC3201\CalCurves\Itamar\C_cal_100ppm_acid_laurel.2019_08_21_13_17_46.cal"</f>
        <v>C:\TOC3201\CalCurves\Itamar\C_cal_100ppm_acid_laurel.2019_08_21_13_17_46.cal</v>
      </c>
      <c r="G299">
        <v>1</v>
      </c>
      <c r="H299" t="str">
        <f>""</f>
        <v/>
      </c>
      <c r="I299" t="str">
        <f>"8/22/2019 4:49:02 AM"</f>
        <v>8/22/2019 4:49:02 AM</v>
      </c>
      <c r="J299" t="str">
        <f>"1"</f>
        <v>1</v>
      </c>
      <c r="K299" t="str">
        <f>"5"</f>
        <v>5</v>
      </c>
      <c r="L299" t="str">
        <f>"NPOC"</f>
        <v>NPOC</v>
      </c>
      <c r="M299" t="str">
        <f>"184.5"</f>
        <v>184.5</v>
      </c>
      <c r="N299" t="str">
        <f>"37.40"</f>
        <v>37.40</v>
      </c>
      <c r="O299" t="str">
        <f>"NPOC:37.60mg/L TN:6.373mg/L"</f>
        <v>NPOC:37.60mg/L TN:6.373mg/L</v>
      </c>
      <c r="P299">
        <v>0</v>
      </c>
      <c r="Q299" t="str">
        <f>"80"</f>
        <v>80</v>
      </c>
    </row>
    <row r="300" spans="1:17" x14ac:dyDescent="0.2">
      <c r="A300" t="str">
        <f>"Unknown"</f>
        <v>Unknown</v>
      </c>
      <c r="B300" t="str">
        <f>"NPOC/TN"</f>
        <v>NPOC/TN</v>
      </c>
      <c r="C300" t="str">
        <f>"1154"</f>
        <v>1154</v>
      </c>
      <c r="D300" t="str">
        <f>"DI"</f>
        <v>DI</v>
      </c>
      <c r="E300" t="str">
        <f>"C:\TOC3201\Methods\Itamar\acid_sample.met"</f>
        <v>C:\TOC3201\Methods\Itamar\acid_sample.met</v>
      </c>
      <c r="F300" t="str">
        <f>"C:\TOC3201\CalCurves\Itamar\N_cal_25ppm_acid_laurel.2019_08_21_15_23_49.cal"</f>
        <v>C:\TOC3201\CalCurves\Itamar\N_cal_25ppm_acid_laurel.2019_08_21_15_23_49.cal</v>
      </c>
      <c r="G300">
        <v>1</v>
      </c>
      <c r="H300" t="str">
        <f>""</f>
        <v/>
      </c>
      <c r="I300" t="str">
        <f>"8/22/2019 4:32:35 AM"</f>
        <v>8/22/2019 4:32:35 AM</v>
      </c>
      <c r="J300" t="str">
        <f>"1"</f>
        <v>1</v>
      </c>
      <c r="K300" t="str">
        <f>"1"</f>
        <v>1</v>
      </c>
      <c r="L300" t="str">
        <f>"TN"</f>
        <v>TN</v>
      </c>
      <c r="M300" t="str">
        <f>"22.13"</f>
        <v>22.13</v>
      </c>
      <c r="N300" t="str">
        <f>"6.224"</f>
        <v>6.224</v>
      </c>
      <c r="O300" t="str">
        <f>"NPOC:37.60mg/L TN:6.373mg/L"</f>
        <v>NPOC:37.60mg/L TN:6.373mg/L</v>
      </c>
      <c r="P300">
        <v>0</v>
      </c>
      <c r="Q300" t="str">
        <f>"80"</f>
        <v>80</v>
      </c>
    </row>
    <row r="301" spans="1:17" x14ac:dyDescent="0.2">
      <c r="A301" t="str">
        <f>"Unknown"</f>
        <v>Unknown</v>
      </c>
      <c r="B301" t="str">
        <f>"NPOC/TN"</f>
        <v>NPOC/TN</v>
      </c>
      <c r="C301" t="str">
        <f>"1154"</f>
        <v>1154</v>
      </c>
      <c r="D301" t="str">
        <f>"DI"</f>
        <v>DI</v>
      </c>
      <c r="E301" t="str">
        <f>"C:\TOC3201\Methods\Itamar\acid_sample.met"</f>
        <v>C:\TOC3201\Methods\Itamar\acid_sample.met</v>
      </c>
      <c r="F301" t="str">
        <f>"C:\TOC3201\CalCurves\Itamar\N_cal_25ppm_acid_laurel.2019_08_21_15_23_49.cal"</f>
        <v>C:\TOC3201\CalCurves\Itamar\N_cal_25ppm_acid_laurel.2019_08_21_15_23_49.cal</v>
      </c>
      <c r="G301">
        <v>1</v>
      </c>
      <c r="H301" t="str">
        <f>""</f>
        <v/>
      </c>
      <c r="I301" t="str">
        <f>"8/22/2019 4:36:43 AM"</f>
        <v>8/22/2019 4:36:43 AM</v>
      </c>
      <c r="J301" t="str">
        <f>"1"</f>
        <v>1</v>
      </c>
      <c r="K301" t="str">
        <f>"2"</f>
        <v>2</v>
      </c>
      <c r="L301" t="str">
        <f>"TN"</f>
        <v>TN</v>
      </c>
      <c r="M301" t="str">
        <f>"21.51"</f>
        <v>21.51</v>
      </c>
      <c r="N301" t="str">
        <f>"6.054"</f>
        <v>6.054</v>
      </c>
      <c r="O301" t="str">
        <f>"NPOC:37.60mg/L TN:6.373mg/L"</f>
        <v>NPOC:37.60mg/L TN:6.373mg/L</v>
      </c>
      <c r="P301">
        <v>1</v>
      </c>
      <c r="Q301" t="str">
        <f>"80"</f>
        <v>80</v>
      </c>
    </row>
    <row r="302" spans="1:17" x14ac:dyDescent="0.2">
      <c r="A302" t="str">
        <f>"Unknown"</f>
        <v>Unknown</v>
      </c>
      <c r="B302" t="str">
        <f>"NPOC/TN"</f>
        <v>NPOC/TN</v>
      </c>
      <c r="C302" t="str">
        <f>"1154"</f>
        <v>1154</v>
      </c>
      <c r="D302" t="str">
        <f>"DI"</f>
        <v>DI</v>
      </c>
      <c r="E302" t="str">
        <f>"C:\TOC3201\Methods\Itamar\acid_sample.met"</f>
        <v>C:\TOC3201\Methods\Itamar\acid_sample.met</v>
      </c>
      <c r="F302" t="str">
        <f>"C:\TOC3201\CalCurves\Itamar\N_cal_25ppm_acid_laurel.2019_08_21_15_23_49.cal"</f>
        <v>C:\TOC3201\CalCurves\Itamar\N_cal_25ppm_acid_laurel.2019_08_21_15_23_49.cal</v>
      </c>
      <c r="G302">
        <v>1</v>
      </c>
      <c r="H302" t="str">
        <f>""</f>
        <v/>
      </c>
      <c r="I302" t="str">
        <f>"8/22/2019 4:41:02 AM"</f>
        <v>8/22/2019 4:41:02 AM</v>
      </c>
      <c r="J302" t="str">
        <f>"1"</f>
        <v>1</v>
      </c>
      <c r="K302" t="str">
        <f>"3"</f>
        <v>3</v>
      </c>
      <c r="L302" t="str">
        <f>"TN"</f>
        <v>TN</v>
      </c>
      <c r="M302" t="str">
        <f>"23.12"</f>
        <v>23.12</v>
      </c>
      <c r="N302" t="str">
        <f>"6.495"</f>
        <v>6.495</v>
      </c>
      <c r="O302" t="str">
        <f>"NPOC:37.60mg/L TN:6.373mg/L"</f>
        <v>NPOC:37.60mg/L TN:6.373mg/L</v>
      </c>
      <c r="P302">
        <v>0</v>
      </c>
      <c r="Q302" t="str">
        <f>"80"</f>
        <v>80</v>
      </c>
    </row>
    <row r="303" spans="1:17" x14ac:dyDescent="0.2">
      <c r="A303" t="str">
        <f>"Unknown"</f>
        <v>Unknown</v>
      </c>
      <c r="B303" t="str">
        <f>"NPOC/TN"</f>
        <v>NPOC/TN</v>
      </c>
      <c r="C303" t="str">
        <f>"1154"</f>
        <v>1154</v>
      </c>
      <c r="D303" t="str">
        <f>"DI"</f>
        <v>DI</v>
      </c>
      <c r="E303" t="str">
        <f>"C:\TOC3201\Methods\Itamar\acid_sample.met"</f>
        <v>C:\TOC3201\Methods\Itamar\acid_sample.met</v>
      </c>
      <c r="F303" t="str">
        <f>"C:\TOC3201\CalCurves\Itamar\N_cal_25ppm_acid_laurel.2019_08_21_15_23_49.cal"</f>
        <v>C:\TOC3201\CalCurves\Itamar\N_cal_25ppm_acid_laurel.2019_08_21_15_23_49.cal</v>
      </c>
      <c r="G303">
        <v>1</v>
      </c>
      <c r="H303" t="str">
        <f>""</f>
        <v/>
      </c>
      <c r="I303" t="str">
        <f>"8/22/2019 4:45:04 AM"</f>
        <v>8/22/2019 4:45:04 AM</v>
      </c>
      <c r="J303" t="str">
        <f>"1"</f>
        <v>1</v>
      </c>
      <c r="K303" t="str">
        <f>"4"</f>
        <v>4</v>
      </c>
      <c r="L303" t="str">
        <f>"TN"</f>
        <v>TN</v>
      </c>
      <c r="M303" t="str">
        <f>"22.77"</f>
        <v>22.77</v>
      </c>
      <c r="N303" t="str">
        <f>"6.399"</f>
        <v>6.399</v>
      </c>
      <c r="O303" t="str">
        <f>"NPOC:37.60mg/L TN:6.373mg/L"</f>
        <v>NPOC:37.60mg/L TN:6.373mg/L</v>
      </c>
      <c r="P303">
        <v>0</v>
      </c>
      <c r="Q303" t="str">
        <f>"80"</f>
        <v>80</v>
      </c>
    </row>
    <row r="304" spans="1:17" x14ac:dyDescent="0.2">
      <c r="A304" t="str">
        <f>"Unknown"</f>
        <v>Unknown</v>
      </c>
      <c r="B304" t="str">
        <f>"NPOC/TN"</f>
        <v>NPOC/TN</v>
      </c>
      <c r="C304" t="str">
        <f>"1154"</f>
        <v>1154</v>
      </c>
      <c r="D304" t="str">
        <f>"DI"</f>
        <v>DI</v>
      </c>
      <c r="E304" t="str">
        <f>"C:\TOC3201\Methods\Itamar\acid_sample.met"</f>
        <v>C:\TOC3201\Methods\Itamar\acid_sample.met</v>
      </c>
      <c r="F304" t="str">
        <f>"C:\TOC3201\CalCurves\Itamar\N_cal_25ppm_acid_laurel.2019_08_21_15_23_49.cal"</f>
        <v>C:\TOC3201\CalCurves\Itamar\N_cal_25ppm_acid_laurel.2019_08_21_15_23_49.cal</v>
      </c>
      <c r="G304">
        <v>1</v>
      </c>
      <c r="H304" t="str">
        <f>""</f>
        <v/>
      </c>
      <c r="I304" t="str">
        <f>"8/22/2019 4:49:02 AM"</f>
        <v>8/22/2019 4:49:02 AM</v>
      </c>
      <c r="J304" t="str">
        <f>"1"</f>
        <v>1</v>
      </c>
      <c r="K304" t="str">
        <f>"5"</f>
        <v>5</v>
      </c>
      <c r="L304" t="str">
        <f>"TN"</f>
        <v>TN</v>
      </c>
      <c r="M304" t="str">
        <f>"21.12"</f>
        <v>21.12</v>
      </c>
      <c r="N304" t="str">
        <f>"5.947"</f>
        <v>5.947</v>
      </c>
      <c r="O304" t="str">
        <f>"NPOC:37.60mg/L TN:6.373mg/L"</f>
        <v>NPOC:37.60mg/L TN:6.373mg/L</v>
      </c>
      <c r="P304">
        <v>1</v>
      </c>
      <c r="Q304" t="str">
        <f>"80"</f>
        <v>80</v>
      </c>
    </row>
    <row r="305" spans="1:17" x14ac:dyDescent="0.2">
      <c r="A305" t="str">
        <f>"Unknown"</f>
        <v>Unknown</v>
      </c>
      <c r="B305" t="str">
        <f>"NPOC/TN"</f>
        <v>NPOC/TN</v>
      </c>
      <c r="C305" t="str">
        <f>"1156"</f>
        <v>1156</v>
      </c>
      <c r="D305" t="str">
        <f>"DI"</f>
        <v>DI</v>
      </c>
      <c r="E305" t="str">
        <f>"C:\TOC3201\Methods\Itamar\acid_sample.met"</f>
        <v>C:\TOC3201\Methods\Itamar\acid_sample.met</v>
      </c>
      <c r="F305" t="str">
        <f>"C:\TOC3201\CalCurves\Itamar\C_cal_100ppm_acid_laurel.2019_08_21_13_17_46.cal"</f>
        <v>C:\TOC3201\CalCurves\Itamar\C_cal_100ppm_acid_laurel.2019_08_21_13_17_46.cal</v>
      </c>
      <c r="G305">
        <v>1</v>
      </c>
      <c r="H305" t="str">
        <f>""</f>
        <v/>
      </c>
      <c r="I305" t="str">
        <f>"8/22/2019 4:59:37 AM"</f>
        <v>8/22/2019 4:59:37 AM</v>
      </c>
      <c r="J305" t="str">
        <f>"1"</f>
        <v>1</v>
      </c>
      <c r="K305" t="str">
        <f>"1"</f>
        <v>1</v>
      </c>
      <c r="L305" t="str">
        <f>"NPOC"</f>
        <v>NPOC</v>
      </c>
      <c r="M305" t="str">
        <f>"200.6"</f>
        <v>200.6</v>
      </c>
      <c r="N305" t="str">
        <f>"40.69"</f>
        <v>40.69</v>
      </c>
      <c r="O305" t="str">
        <f>"NPOC:41.18mg/L TN:6.732mg/L"</f>
        <v>NPOC:41.18mg/L TN:6.732mg/L</v>
      </c>
      <c r="P305">
        <v>0</v>
      </c>
      <c r="Q305" t="str">
        <f>"80"</f>
        <v>80</v>
      </c>
    </row>
    <row r="306" spans="1:17" x14ac:dyDescent="0.2">
      <c r="A306" t="str">
        <f>"Unknown"</f>
        <v>Unknown</v>
      </c>
      <c r="B306" t="str">
        <f>"NPOC/TN"</f>
        <v>NPOC/TN</v>
      </c>
      <c r="C306" t="str">
        <f>"1156"</f>
        <v>1156</v>
      </c>
      <c r="D306" t="str">
        <f>"DI"</f>
        <v>DI</v>
      </c>
      <c r="E306" t="str">
        <f>"C:\TOC3201\Methods\Itamar\acid_sample.met"</f>
        <v>C:\TOC3201\Methods\Itamar\acid_sample.met</v>
      </c>
      <c r="F306" t="str">
        <f>"C:\TOC3201\CalCurves\Itamar\C_cal_100ppm_acid_laurel.2019_08_21_13_17_46.cal"</f>
        <v>C:\TOC3201\CalCurves\Itamar\C_cal_100ppm_acid_laurel.2019_08_21_13_17_46.cal</v>
      </c>
      <c r="G306">
        <v>1</v>
      </c>
      <c r="H306" t="str">
        <f>""</f>
        <v/>
      </c>
      <c r="I306" t="str">
        <f>"8/22/2019 5:04:36 AM"</f>
        <v>8/22/2019 5:04:36 AM</v>
      </c>
      <c r="J306" t="str">
        <f>"1"</f>
        <v>1</v>
      </c>
      <c r="K306" t="str">
        <f>"2"</f>
        <v>2</v>
      </c>
      <c r="L306" t="str">
        <f>"NPOC"</f>
        <v>NPOC</v>
      </c>
      <c r="M306" t="str">
        <f>"204.6"</f>
        <v>204.6</v>
      </c>
      <c r="N306" t="str">
        <f>"41.51"</f>
        <v>41.51</v>
      </c>
      <c r="O306" t="str">
        <f>"NPOC:41.18mg/L TN:6.732mg/L"</f>
        <v>NPOC:41.18mg/L TN:6.732mg/L</v>
      </c>
      <c r="P306">
        <v>0</v>
      </c>
      <c r="Q306" t="str">
        <f>"80"</f>
        <v>80</v>
      </c>
    </row>
    <row r="307" spans="1:17" x14ac:dyDescent="0.2">
      <c r="A307" t="str">
        <f>"Unknown"</f>
        <v>Unknown</v>
      </c>
      <c r="B307" t="str">
        <f>"NPOC/TN"</f>
        <v>NPOC/TN</v>
      </c>
      <c r="C307" t="str">
        <f>"1156"</f>
        <v>1156</v>
      </c>
      <c r="D307" t="str">
        <f>"DI"</f>
        <v>DI</v>
      </c>
      <c r="E307" t="str">
        <f>"C:\TOC3201\Methods\Itamar\acid_sample.met"</f>
        <v>C:\TOC3201\Methods\Itamar\acid_sample.met</v>
      </c>
      <c r="F307" t="str">
        <f>"C:\TOC3201\CalCurves\Itamar\C_cal_100ppm_acid_laurel.2019_08_21_13_17_46.cal"</f>
        <v>C:\TOC3201\CalCurves\Itamar\C_cal_100ppm_acid_laurel.2019_08_21_13_17_46.cal</v>
      </c>
      <c r="G307">
        <v>1</v>
      </c>
      <c r="H307" t="str">
        <f>""</f>
        <v/>
      </c>
      <c r="I307" t="str">
        <f>"8/22/2019 5:08:57 AM"</f>
        <v>8/22/2019 5:08:57 AM</v>
      </c>
      <c r="J307" t="str">
        <f>"1"</f>
        <v>1</v>
      </c>
      <c r="K307" t="str">
        <f>"3"</f>
        <v>3</v>
      </c>
      <c r="L307" t="str">
        <f>"NPOC"</f>
        <v>NPOC</v>
      </c>
      <c r="M307" t="str">
        <f>"213.9"</f>
        <v>213.9</v>
      </c>
      <c r="N307" t="str">
        <f>"43.41"</f>
        <v>43.41</v>
      </c>
      <c r="O307" t="str">
        <f>"NPOC:41.18mg/L TN:6.732mg/L"</f>
        <v>NPOC:41.18mg/L TN:6.732mg/L</v>
      </c>
      <c r="P307">
        <v>1</v>
      </c>
      <c r="Q307" t="str">
        <f>"80"</f>
        <v>80</v>
      </c>
    </row>
    <row r="308" spans="1:17" x14ac:dyDescent="0.2">
      <c r="A308" t="str">
        <f>"Unknown"</f>
        <v>Unknown</v>
      </c>
      <c r="B308" t="str">
        <f>"NPOC/TN"</f>
        <v>NPOC/TN</v>
      </c>
      <c r="C308" t="str">
        <f>"1156"</f>
        <v>1156</v>
      </c>
      <c r="D308" t="str">
        <f>"DI"</f>
        <v>DI</v>
      </c>
      <c r="E308" t="str">
        <f>"C:\TOC3201\Methods\Itamar\acid_sample.met"</f>
        <v>C:\TOC3201\Methods\Itamar\acid_sample.met</v>
      </c>
      <c r="F308" t="str">
        <f>"C:\TOC3201\CalCurves\Itamar\C_cal_100ppm_acid_laurel.2019_08_21_13_17_46.cal"</f>
        <v>C:\TOC3201\CalCurves\Itamar\C_cal_100ppm_acid_laurel.2019_08_21_13_17_46.cal</v>
      </c>
      <c r="G308">
        <v>1</v>
      </c>
      <c r="H308" t="str">
        <f>""</f>
        <v/>
      </c>
      <c r="I308" t="str">
        <f>"8/22/2019 5:13:07 AM"</f>
        <v>8/22/2019 5:13:07 AM</v>
      </c>
      <c r="J308" t="str">
        <f>"1"</f>
        <v>1</v>
      </c>
      <c r="K308" t="str">
        <f>"4"</f>
        <v>4</v>
      </c>
      <c r="L308" t="str">
        <f>"NPOC"</f>
        <v>NPOC</v>
      </c>
      <c r="M308" t="str">
        <f>"203.8"</f>
        <v>203.8</v>
      </c>
      <c r="N308" t="str">
        <f>"41.34"</f>
        <v>41.34</v>
      </c>
      <c r="O308" t="str">
        <f>"NPOC:41.18mg/L TN:6.732mg/L"</f>
        <v>NPOC:41.18mg/L TN:6.732mg/L</v>
      </c>
      <c r="P308">
        <v>0</v>
      </c>
      <c r="Q308" t="str">
        <f>"80"</f>
        <v>80</v>
      </c>
    </row>
    <row r="309" spans="1:17" x14ac:dyDescent="0.2">
      <c r="A309" t="str">
        <f>"Unknown"</f>
        <v>Unknown</v>
      </c>
      <c r="B309" t="str">
        <f>"NPOC/TN"</f>
        <v>NPOC/TN</v>
      </c>
      <c r="C309" t="str">
        <f>"1156"</f>
        <v>1156</v>
      </c>
      <c r="D309" t="str">
        <f>"DI"</f>
        <v>DI</v>
      </c>
      <c r="E309" t="str">
        <f>"C:\TOC3201\Methods\Itamar\acid_sample.met"</f>
        <v>C:\TOC3201\Methods\Itamar\acid_sample.met</v>
      </c>
      <c r="F309" t="str">
        <f>"C:\TOC3201\CalCurves\Itamar\N_cal_25ppm_acid_laurel.2019_08_21_15_23_49.cal"</f>
        <v>C:\TOC3201\CalCurves\Itamar\N_cal_25ppm_acid_laurel.2019_08_21_15_23_49.cal</v>
      </c>
      <c r="G309">
        <v>1</v>
      </c>
      <c r="H309" t="str">
        <f>""</f>
        <v/>
      </c>
      <c r="I309" t="str">
        <f>"8/22/2019 4:59:37 AM"</f>
        <v>8/22/2019 4:59:37 AM</v>
      </c>
      <c r="J309" t="str">
        <f>"1"</f>
        <v>1</v>
      </c>
      <c r="K309" t="str">
        <f>"1"</f>
        <v>1</v>
      </c>
      <c r="L309" t="str">
        <f>"TN"</f>
        <v>TN</v>
      </c>
      <c r="M309" t="str">
        <f>"22.60"</f>
        <v>22.60</v>
      </c>
      <c r="N309" t="str">
        <f>"6.353"</f>
        <v>6.353</v>
      </c>
      <c r="O309" t="str">
        <f>"NPOC:41.18mg/L TN:6.732mg/L"</f>
        <v>NPOC:41.18mg/L TN:6.732mg/L</v>
      </c>
      <c r="P309">
        <v>1</v>
      </c>
      <c r="Q309" t="str">
        <f>"80"</f>
        <v>80</v>
      </c>
    </row>
    <row r="310" spans="1:17" x14ac:dyDescent="0.2">
      <c r="A310" t="str">
        <f>"Unknown"</f>
        <v>Unknown</v>
      </c>
      <c r="B310" t="str">
        <f>"NPOC/TN"</f>
        <v>NPOC/TN</v>
      </c>
      <c r="C310" t="str">
        <f>"1156"</f>
        <v>1156</v>
      </c>
      <c r="D310" t="str">
        <f>"DI"</f>
        <v>DI</v>
      </c>
      <c r="E310" t="str">
        <f>"C:\TOC3201\Methods\Itamar\acid_sample.met"</f>
        <v>C:\TOC3201\Methods\Itamar\acid_sample.met</v>
      </c>
      <c r="F310" t="str">
        <f>"C:\TOC3201\CalCurves\Itamar\N_cal_25ppm_acid_laurel.2019_08_21_15_23_49.cal"</f>
        <v>C:\TOC3201\CalCurves\Itamar\N_cal_25ppm_acid_laurel.2019_08_21_15_23_49.cal</v>
      </c>
      <c r="G310">
        <v>1</v>
      </c>
      <c r="H310" t="str">
        <f>""</f>
        <v/>
      </c>
      <c r="I310" t="str">
        <f>"8/22/2019 5:04:36 AM"</f>
        <v>8/22/2019 5:04:36 AM</v>
      </c>
      <c r="J310" t="str">
        <f>"1"</f>
        <v>1</v>
      </c>
      <c r="K310" t="str">
        <f>"2"</f>
        <v>2</v>
      </c>
      <c r="L310" t="str">
        <f>"TN"</f>
        <v>TN</v>
      </c>
      <c r="M310" t="str">
        <f>"24.06"</f>
        <v>24.06</v>
      </c>
      <c r="N310" t="str">
        <f>"6.753"</f>
        <v>6.753</v>
      </c>
      <c r="O310" t="str">
        <f>"NPOC:41.18mg/L TN:6.732mg/L"</f>
        <v>NPOC:41.18mg/L TN:6.732mg/L</v>
      </c>
      <c r="P310">
        <v>0</v>
      </c>
      <c r="Q310" t="str">
        <f>"80"</f>
        <v>80</v>
      </c>
    </row>
    <row r="311" spans="1:17" x14ac:dyDescent="0.2">
      <c r="A311" t="str">
        <f>"Unknown"</f>
        <v>Unknown</v>
      </c>
      <c r="B311" t="str">
        <f>"NPOC/TN"</f>
        <v>NPOC/TN</v>
      </c>
      <c r="C311" t="str">
        <f>"1156"</f>
        <v>1156</v>
      </c>
      <c r="D311" t="str">
        <f>"DI"</f>
        <v>DI</v>
      </c>
      <c r="E311" t="str">
        <f>"C:\TOC3201\Methods\Itamar\acid_sample.met"</f>
        <v>C:\TOC3201\Methods\Itamar\acid_sample.met</v>
      </c>
      <c r="F311" t="str">
        <f>"C:\TOC3201\CalCurves\Itamar\N_cal_25ppm_acid_laurel.2019_08_21_15_23_49.cal"</f>
        <v>C:\TOC3201\CalCurves\Itamar\N_cal_25ppm_acid_laurel.2019_08_21_15_23_49.cal</v>
      </c>
      <c r="G311">
        <v>1</v>
      </c>
      <c r="H311" t="str">
        <f>""</f>
        <v/>
      </c>
      <c r="I311" t="str">
        <f>"8/22/2019 5:08:57 AM"</f>
        <v>8/22/2019 5:08:57 AM</v>
      </c>
      <c r="J311" t="str">
        <f>"1"</f>
        <v>1</v>
      </c>
      <c r="K311" t="str">
        <f>"3"</f>
        <v>3</v>
      </c>
      <c r="L311" t="str">
        <f>"TN"</f>
        <v>TN</v>
      </c>
      <c r="M311" t="str">
        <f>"24.25"</f>
        <v>24.25</v>
      </c>
      <c r="N311" t="str">
        <f>"6.805"</f>
        <v>6.805</v>
      </c>
      <c r="O311" t="str">
        <f>"NPOC:41.18mg/L TN:6.732mg/L"</f>
        <v>NPOC:41.18mg/L TN:6.732mg/L</v>
      </c>
      <c r="P311">
        <v>0</v>
      </c>
      <c r="Q311" t="str">
        <f>"80"</f>
        <v>80</v>
      </c>
    </row>
    <row r="312" spans="1:17" x14ac:dyDescent="0.2">
      <c r="A312" t="str">
        <f>"Unknown"</f>
        <v>Unknown</v>
      </c>
      <c r="B312" t="str">
        <f>"NPOC/TN"</f>
        <v>NPOC/TN</v>
      </c>
      <c r="C312" t="str">
        <f>"1156"</f>
        <v>1156</v>
      </c>
      <c r="D312" t="str">
        <f>"DI"</f>
        <v>DI</v>
      </c>
      <c r="E312" t="str">
        <f>"C:\TOC3201\Methods\Itamar\acid_sample.met"</f>
        <v>C:\TOC3201\Methods\Itamar\acid_sample.met</v>
      </c>
      <c r="F312" t="str">
        <f>"C:\TOC3201\CalCurves\Itamar\N_cal_25ppm_acid_laurel.2019_08_21_15_23_49.cal"</f>
        <v>C:\TOC3201\CalCurves\Itamar\N_cal_25ppm_acid_laurel.2019_08_21_15_23_49.cal</v>
      </c>
      <c r="G312">
        <v>1</v>
      </c>
      <c r="H312" t="str">
        <f>""</f>
        <v/>
      </c>
      <c r="I312" t="str">
        <f>"8/22/2019 5:13:07 AM"</f>
        <v>8/22/2019 5:13:07 AM</v>
      </c>
      <c r="J312" t="str">
        <f>"1"</f>
        <v>1</v>
      </c>
      <c r="K312" t="str">
        <f>"4"</f>
        <v>4</v>
      </c>
      <c r="L312" t="str">
        <f>"TN"</f>
        <v>TN</v>
      </c>
      <c r="M312" t="str">
        <f>"23.64"</f>
        <v>23.64</v>
      </c>
      <c r="N312" t="str">
        <f>"6.638"</f>
        <v>6.638</v>
      </c>
      <c r="O312" t="str">
        <f>"NPOC:41.18mg/L TN:6.732mg/L"</f>
        <v>NPOC:41.18mg/L TN:6.732mg/L</v>
      </c>
      <c r="P312">
        <v>0</v>
      </c>
      <c r="Q312" t="str">
        <f>"80"</f>
        <v>80</v>
      </c>
    </row>
    <row r="313" spans="1:17" x14ac:dyDescent="0.2">
      <c r="A313" t="str">
        <f>"Unknown"</f>
        <v>Unknown</v>
      </c>
      <c r="B313" t="str">
        <f>"NPOC/TN"</f>
        <v>NPOC/TN</v>
      </c>
      <c r="C313" t="str">
        <f>"1158"</f>
        <v>1158</v>
      </c>
      <c r="D313" t="str">
        <f>"DI"</f>
        <v>DI</v>
      </c>
      <c r="E313" t="str">
        <f>"C:\TOC3201\Methods\Itamar\acid_sample.met"</f>
        <v>C:\TOC3201\Methods\Itamar\acid_sample.met</v>
      </c>
      <c r="F313" t="str">
        <f>"C:\TOC3201\CalCurves\Itamar\C_cal_100ppm_acid_laurel.2019_08_21_13_17_46.cal"</f>
        <v>C:\TOC3201\CalCurves\Itamar\C_cal_100ppm_acid_laurel.2019_08_21_13_17_46.cal</v>
      </c>
      <c r="G313">
        <v>1</v>
      </c>
      <c r="H313" t="str">
        <f>""</f>
        <v/>
      </c>
      <c r="I313" t="str">
        <f>"8/22/2019 5:23:58 AM"</f>
        <v>8/22/2019 5:23:58 AM</v>
      </c>
      <c r="J313" t="str">
        <f>"1"</f>
        <v>1</v>
      </c>
      <c r="K313" t="str">
        <f>"1"</f>
        <v>1</v>
      </c>
      <c r="L313" t="str">
        <f>"NPOC"</f>
        <v>NPOC</v>
      </c>
      <c r="M313" t="str">
        <f>"199.4"</f>
        <v>199.4</v>
      </c>
      <c r="N313" t="str">
        <f>"40.44"</f>
        <v>40.44</v>
      </c>
      <c r="O313" t="str">
        <f>"NPOC:40.78mg/L TN:6.493mg/L"</f>
        <v>NPOC:40.78mg/L TN:6.493mg/L</v>
      </c>
      <c r="P313">
        <v>0</v>
      </c>
      <c r="Q313" t="str">
        <f>"80"</f>
        <v>80</v>
      </c>
    </row>
    <row r="314" spans="1:17" x14ac:dyDescent="0.2">
      <c r="A314" t="str">
        <f>"Unknown"</f>
        <v>Unknown</v>
      </c>
      <c r="B314" t="str">
        <f>"NPOC/TN"</f>
        <v>NPOC/TN</v>
      </c>
      <c r="C314" t="str">
        <f>"1158"</f>
        <v>1158</v>
      </c>
      <c r="D314" t="str">
        <f>"DI"</f>
        <v>DI</v>
      </c>
      <c r="E314" t="str">
        <f>"C:\TOC3201\Methods\Itamar\acid_sample.met"</f>
        <v>C:\TOC3201\Methods\Itamar\acid_sample.met</v>
      </c>
      <c r="F314" t="str">
        <f>"C:\TOC3201\CalCurves\Itamar\C_cal_100ppm_acid_laurel.2019_08_21_13_17_46.cal"</f>
        <v>C:\TOC3201\CalCurves\Itamar\C_cal_100ppm_acid_laurel.2019_08_21_13_17_46.cal</v>
      </c>
      <c r="G314">
        <v>1</v>
      </c>
      <c r="H314" t="str">
        <f>""</f>
        <v/>
      </c>
      <c r="I314" t="str">
        <f>"8/22/2019 5:27:59 AM"</f>
        <v>8/22/2019 5:27:59 AM</v>
      </c>
      <c r="J314" t="str">
        <f>"1"</f>
        <v>1</v>
      </c>
      <c r="K314" t="str">
        <f>"2"</f>
        <v>2</v>
      </c>
      <c r="L314" t="str">
        <f>"NPOC"</f>
        <v>NPOC</v>
      </c>
      <c r="M314" t="str">
        <f>"191.2"</f>
        <v>191.2</v>
      </c>
      <c r="N314" t="str">
        <f>"38.77"</f>
        <v>38.77</v>
      </c>
      <c r="O314" t="str">
        <f>"NPOC:40.78mg/L TN:6.493mg/L"</f>
        <v>NPOC:40.78mg/L TN:6.493mg/L</v>
      </c>
      <c r="P314">
        <v>1</v>
      </c>
      <c r="Q314" t="str">
        <f>"80"</f>
        <v>80</v>
      </c>
    </row>
    <row r="315" spans="1:17" x14ac:dyDescent="0.2">
      <c r="A315" t="str">
        <f>"Unknown"</f>
        <v>Unknown</v>
      </c>
      <c r="B315" t="str">
        <f>"NPOC/TN"</f>
        <v>NPOC/TN</v>
      </c>
      <c r="C315" t="str">
        <f>"1158"</f>
        <v>1158</v>
      </c>
      <c r="D315" t="str">
        <f>"DI"</f>
        <v>DI</v>
      </c>
      <c r="E315" t="str">
        <f>"C:\TOC3201\Methods\Itamar\acid_sample.met"</f>
        <v>C:\TOC3201\Methods\Itamar\acid_sample.met</v>
      </c>
      <c r="F315" t="str">
        <f>"C:\TOC3201\CalCurves\Itamar\C_cal_100ppm_acid_laurel.2019_08_21_13_17_46.cal"</f>
        <v>C:\TOC3201\CalCurves\Itamar\C_cal_100ppm_acid_laurel.2019_08_21_13_17_46.cal</v>
      </c>
      <c r="G315">
        <v>1</v>
      </c>
      <c r="H315" t="str">
        <f>""</f>
        <v/>
      </c>
      <c r="I315" t="str">
        <f>"8/22/2019 5:32:13 AM"</f>
        <v>8/22/2019 5:32:13 AM</v>
      </c>
      <c r="J315" t="str">
        <f>"1"</f>
        <v>1</v>
      </c>
      <c r="K315" t="str">
        <f>"3"</f>
        <v>3</v>
      </c>
      <c r="L315" t="str">
        <f>"NPOC"</f>
        <v>NPOC</v>
      </c>
      <c r="M315" t="str">
        <f>"201.4"</f>
        <v>201.4</v>
      </c>
      <c r="N315" t="str">
        <f>"40.85"</f>
        <v>40.85</v>
      </c>
      <c r="O315" t="str">
        <f>"NPOC:40.78mg/L TN:6.493mg/L"</f>
        <v>NPOC:40.78mg/L TN:6.493mg/L</v>
      </c>
      <c r="P315">
        <v>0</v>
      </c>
      <c r="Q315" t="str">
        <f>"80"</f>
        <v>80</v>
      </c>
    </row>
    <row r="316" spans="1:17" x14ac:dyDescent="0.2">
      <c r="A316" t="str">
        <f>"Unknown"</f>
        <v>Unknown</v>
      </c>
      <c r="B316" t="str">
        <f>"NPOC/TN"</f>
        <v>NPOC/TN</v>
      </c>
      <c r="C316" t="str">
        <f>"1158"</f>
        <v>1158</v>
      </c>
      <c r="D316" t="str">
        <f>"DI"</f>
        <v>DI</v>
      </c>
      <c r="E316" t="str">
        <f>"C:\TOC3201\Methods\Itamar\acid_sample.met"</f>
        <v>C:\TOC3201\Methods\Itamar\acid_sample.met</v>
      </c>
      <c r="F316" t="str">
        <f>"C:\TOC3201\CalCurves\Itamar\C_cal_100ppm_acid_laurel.2019_08_21_13_17_46.cal"</f>
        <v>C:\TOC3201\CalCurves\Itamar\C_cal_100ppm_acid_laurel.2019_08_21_13_17_46.cal</v>
      </c>
      <c r="G316">
        <v>1</v>
      </c>
      <c r="H316" t="str">
        <f>""</f>
        <v/>
      </c>
      <c r="I316" t="str">
        <f>"8/22/2019 5:36:19 AM"</f>
        <v>8/22/2019 5:36:19 AM</v>
      </c>
      <c r="J316" t="str">
        <f>"1"</f>
        <v>1</v>
      </c>
      <c r="K316" t="str">
        <f>"4"</f>
        <v>4</v>
      </c>
      <c r="L316" t="str">
        <f>"NPOC"</f>
        <v>NPOC</v>
      </c>
      <c r="M316" t="str">
        <f>"202.3"</f>
        <v>202.3</v>
      </c>
      <c r="N316" t="str">
        <f>"41.04"</f>
        <v>41.04</v>
      </c>
      <c r="O316" t="str">
        <f>"NPOC:40.78mg/L TN:6.493mg/L"</f>
        <v>NPOC:40.78mg/L TN:6.493mg/L</v>
      </c>
      <c r="P316">
        <v>0</v>
      </c>
      <c r="Q316" t="str">
        <f>"80"</f>
        <v>80</v>
      </c>
    </row>
    <row r="317" spans="1:17" x14ac:dyDescent="0.2">
      <c r="A317" t="str">
        <f>"Unknown"</f>
        <v>Unknown</v>
      </c>
      <c r="B317" t="str">
        <f>"NPOC/TN"</f>
        <v>NPOC/TN</v>
      </c>
      <c r="C317" t="str">
        <f>"1158"</f>
        <v>1158</v>
      </c>
      <c r="D317" t="str">
        <f>"DI"</f>
        <v>DI</v>
      </c>
      <c r="E317" t="str">
        <f>"C:\TOC3201\Methods\Itamar\acid_sample.met"</f>
        <v>C:\TOC3201\Methods\Itamar\acid_sample.met</v>
      </c>
      <c r="F317" t="str">
        <f>"C:\TOC3201\CalCurves\Itamar\N_cal_25ppm_acid_laurel.2019_08_21_15_23_49.cal"</f>
        <v>C:\TOC3201\CalCurves\Itamar\N_cal_25ppm_acid_laurel.2019_08_21_15_23_49.cal</v>
      </c>
      <c r="G317">
        <v>1</v>
      </c>
      <c r="H317" t="str">
        <f>""</f>
        <v/>
      </c>
      <c r="I317" t="str">
        <f>"8/22/2019 5:23:58 AM"</f>
        <v>8/22/2019 5:23:58 AM</v>
      </c>
      <c r="J317" t="str">
        <f>"1"</f>
        <v>1</v>
      </c>
      <c r="K317" t="str">
        <f>"1"</f>
        <v>1</v>
      </c>
      <c r="L317" t="str">
        <f>"TN"</f>
        <v>TN</v>
      </c>
      <c r="M317" t="str">
        <f>"23.06"</f>
        <v>23.06</v>
      </c>
      <c r="N317" t="str">
        <f>"6.479"</f>
        <v>6.479</v>
      </c>
      <c r="O317" t="str">
        <f>"NPOC:40.78mg/L TN:6.493mg/L"</f>
        <v>NPOC:40.78mg/L TN:6.493mg/L</v>
      </c>
      <c r="P317">
        <v>0</v>
      </c>
      <c r="Q317" t="str">
        <f>"80"</f>
        <v>80</v>
      </c>
    </row>
    <row r="318" spans="1:17" x14ac:dyDescent="0.2">
      <c r="A318" t="str">
        <f>"Unknown"</f>
        <v>Unknown</v>
      </c>
      <c r="B318" t="str">
        <f>"NPOC/TN"</f>
        <v>NPOC/TN</v>
      </c>
      <c r="C318" t="str">
        <f>"1158"</f>
        <v>1158</v>
      </c>
      <c r="D318" t="str">
        <f>"DI"</f>
        <v>DI</v>
      </c>
      <c r="E318" t="str">
        <f>"C:\TOC3201\Methods\Itamar\acid_sample.met"</f>
        <v>C:\TOC3201\Methods\Itamar\acid_sample.met</v>
      </c>
      <c r="F318" t="str">
        <f>"C:\TOC3201\CalCurves\Itamar\N_cal_25ppm_acid_laurel.2019_08_21_15_23_49.cal"</f>
        <v>C:\TOC3201\CalCurves\Itamar\N_cal_25ppm_acid_laurel.2019_08_21_15_23_49.cal</v>
      </c>
      <c r="G318">
        <v>1</v>
      </c>
      <c r="H318" t="str">
        <f>""</f>
        <v/>
      </c>
      <c r="I318" t="str">
        <f>"8/22/2019 5:27:59 AM"</f>
        <v>8/22/2019 5:27:59 AM</v>
      </c>
      <c r="J318" t="str">
        <f>"1"</f>
        <v>1</v>
      </c>
      <c r="K318" t="str">
        <f>"2"</f>
        <v>2</v>
      </c>
      <c r="L318" t="str">
        <f>"TN"</f>
        <v>TN</v>
      </c>
      <c r="M318" t="str">
        <f>"22.18"</f>
        <v>22.18</v>
      </c>
      <c r="N318" t="str">
        <f>"6.238"</f>
        <v>6.238</v>
      </c>
      <c r="O318" t="str">
        <f>"NPOC:40.78mg/L TN:6.493mg/L"</f>
        <v>NPOC:40.78mg/L TN:6.493mg/L</v>
      </c>
      <c r="P318">
        <v>1</v>
      </c>
      <c r="Q318" t="str">
        <f>"80"</f>
        <v>80</v>
      </c>
    </row>
    <row r="319" spans="1:17" x14ac:dyDescent="0.2">
      <c r="A319" t="str">
        <f>"Unknown"</f>
        <v>Unknown</v>
      </c>
      <c r="B319" t="str">
        <f>"NPOC/TN"</f>
        <v>NPOC/TN</v>
      </c>
      <c r="C319" t="str">
        <f>"1158"</f>
        <v>1158</v>
      </c>
      <c r="D319" t="str">
        <f>"DI"</f>
        <v>DI</v>
      </c>
      <c r="E319" t="str">
        <f>"C:\TOC3201\Methods\Itamar\acid_sample.met"</f>
        <v>C:\TOC3201\Methods\Itamar\acid_sample.met</v>
      </c>
      <c r="F319" t="str">
        <f>"C:\TOC3201\CalCurves\Itamar\N_cal_25ppm_acid_laurel.2019_08_21_15_23_49.cal"</f>
        <v>C:\TOC3201\CalCurves\Itamar\N_cal_25ppm_acid_laurel.2019_08_21_15_23_49.cal</v>
      </c>
      <c r="G319">
        <v>1</v>
      </c>
      <c r="H319" t="str">
        <f>""</f>
        <v/>
      </c>
      <c r="I319" t="str">
        <f>"8/22/2019 5:32:13 AM"</f>
        <v>8/22/2019 5:32:13 AM</v>
      </c>
      <c r="J319" t="str">
        <f>"1"</f>
        <v>1</v>
      </c>
      <c r="K319" t="str">
        <f>"3"</f>
        <v>3</v>
      </c>
      <c r="L319" t="str">
        <f>"TN"</f>
        <v>TN</v>
      </c>
      <c r="M319" t="str">
        <f>"23.11"</f>
        <v>23.11</v>
      </c>
      <c r="N319" t="str">
        <f>"6.493"</f>
        <v>6.493</v>
      </c>
      <c r="O319" t="str">
        <f>"NPOC:40.78mg/L TN:6.493mg/L"</f>
        <v>NPOC:40.78mg/L TN:6.493mg/L</v>
      </c>
      <c r="P319">
        <v>0</v>
      </c>
      <c r="Q319" t="str">
        <f>"80"</f>
        <v>80</v>
      </c>
    </row>
    <row r="320" spans="1:17" x14ac:dyDescent="0.2">
      <c r="A320" t="str">
        <f>"Unknown"</f>
        <v>Unknown</v>
      </c>
      <c r="B320" t="str">
        <f>"NPOC/TN"</f>
        <v>NPOC/TN</v>
      </c>
      <c r="C320" t="str">
        <f>"1158"</f>
        <v>1158</v>
      </c>
      <c r="D320" t="str">
        <f>"DI"</f>
        <v>DI</v>
      </c>
      <c r="E320" t="str">
        <f>"C:\TOC3201\Methods\Itamar\acid_sample.met"</f>
        <v>C:\TOC3201\Methods\Itamar\acid_sample.met</v>
      </c>
      <c r="F320" t="str">
        <f>"C:\TOC3201\CalCurves\Itamar\N_cal_25ppm_acid_laurel.2019_08_21_15_23_49.cal"</f>
        <v>C:\TOC3201\CalCurves\Itamar\N_cal_25ppm_acid_laurel.2019_08_21_15_23_49.cal</v>
      </c>
      <c r="G320">
        <v>1</v>
      </c>
      <c r="H320" t="str">
        <f>""</f>
        <v/>
      </c>
      <c r="I320" t="str">
        <f>"8/22/2019 5:36:19 AM"</f>
        <v>8/22/2019 5:36:19 AM</v>
      </c>
      <c r="J320" t="str">
        <f>"1"</f>
        <v>1</v>
      </c>
      <c r="K320" t="str">
        <f>"4"</f>
        <v>4</v>
      </c>
      <c r="L320" t="str">
        <f>"TN"</f>
        <v>TN</v>
      </c>
      <c r="M320" t="str">
        <f>"23.16"</f>
        <v>23.16</v>
      </c>
      <c r="N320" t="str">
        <f>"6.506"</f>
        <v>6.506</v>
      </c>
      <c r="O320" t="str">
        <f>"NPOC:40.78mg/L TN:6.493mg/L"</f>
        <v>NPOC:40.78mg/L TN:6.493mg/L</v>
      </c>
      <c r="P320">
        <v>0</v>
      </c>
      <c r="Q320" t="str">
        <f>"80"</f>
        <v>80</v>
      </c>
    </row>
    <row r="321" spans="1:17" x14ac:dyDescent="0.2">
      <c r="A321" t="str">
        <f>"Unknown"</f>
        <v>Unknown</v>
      </c>
      <c r="B321" t="str">
        <f>"NPOC/TN"</f>
        <v>NPOC/TN</v>
      </c>
      <c r="C321" t="str">
        <f>"1160"</f>
        <v>1160</v>
      </c>
      <c r="D321" t="str">
        <f>"DI"</f>
        <v>DI</v>
      </c>
      <c r="E321" t="str">
        <f>"C:\TOC3201\Methods\Itamar\acid_sample.met"</f>
        <v>C:\TOC3201\Methods\Itamar\acid_sample.met</v>
      </c>
      <c r="F321" t="str">
        <f>"C:\TOC3201\CalCurves\Itamar\C_cal_100ppm_acid_laurel.2019_08_21_13_17_46.cal"</f>
        <v>C:\TOC3201\CalCurves\Itamar\C_cal_100ppm_acid_laurel.2019_08_21_13_17_46.cal</v>
      </c>
      <c r="G321">
        <v>1</v>
      </c>
      <c r="H321" t="str">
        <f>""</f>
        <v/>
      </c>
      <c r="I321" t="str">
        <f>"8/22/2019 5:46:55 AM"</f>
        <v>8/22/2019 5:46:55 AM</v>
      </c>
      <c r="J321" t="str">
        <f>"1"</f>
        <v>1</v>
      </c>
      <c r="K321" t="str">
        <f>"1"</f>
        <v>1</v>
      </c>
      <c r="L321" t="str">
        <f>"NPOC"</f>
        <v>NPOC</v>
      </c>
      <c r="M321" t="str">
        <f>"113.9"</f>
        <v>113.9</v>
      </c>
      <c r="N321" t="str">
        <f>"22.96"</f>
        <v>22.96</v>
      </c>
      <c r="O321" t="str">
        <f>"NPOC:22.98mg/L TN:3.052mg/L"</f>
        <v>NPOC:22.98mg/L TN:3.052mg/L</v>
      </c>
      <c r="P321">
        <v>0</v>
      </c>
      <c r="Q321" t="str">
        <f>"80"</f>
        <v>80</v>
      </c>
    </row>
    <row r="322" spans="1:17" x14ac:dyDescent="0.2">
      <c r="A322" t="str">
        <f>"Unknown"</f>
        <v>Unknown</v>
      </c>
      <c r="B322" t="str">
        <f>"NPOC/TN"</f>
        <v>NPOC/TN</v>
      </c>
      <c r="C322" t="str">
        <f>"1160"</f>
        <v>1160</v>
      </c>
      <c r="D322" t="str">
        <f>"DI"</f>
        <v>DI</v>
      </c>
      <c r="E322" t="str">
        <f>"C:\TOC3201\Methods\Itamar\acid_sample.met"</f>
        <v>C:\TOC3201\Methods\Itamar\acid_sample.met</v>
      </c>
      <c r="F322" t="str">
        <f>"C:\TOC3201\CalCurves\Itamar\C_cal_100ppm_acid_laurel.2019_08_21_13_17_46.cal"</f>
        <v>C:\TOC3201\CalCurves\Itamar\C_cal_100ppm_acid_laurel.2019_08_21_13_17_46.cal</v>
      </c>
      <c r="G322">
        <v>1</v>
      </c>
      <c r="H322" t="str">
        <f>""</f>
        <v/>
      </c>
      <c r="I322" t="str">
        <f>"8/22/2019 5:50:55 AM"</f>
        <v>8/22/2019 5:50:55 AM</v>
      </c>
      <c r="J322" t="str">
        <f>"1"</f>
        <v>1</v>
      </c>
      <c r="K322" t="str">
        <f>"2"</f>
        <v>2</v>
      </c>
      <c r="L322" t="str">
        <f>"NPOC"</f>
        <v>NPOC</v>
      </c>
      <c r="M322" t="str">
        <f>"111.9"</f>
        <v>111.9</v>
      </c>
      <c r="N322" t="str">
        <f>"22.55"</f>
        <v>22.55</v>
      </c>
      <c r="O322" t="str">
        <f>"NPOC:22.98mg/L TN:3.052mg/L"</f>
        <v>NPOC:22.98mg/L TN:3.052mg/L</v>
      </c>
      <c r="P322">
        <v>0</v>
      </c>
      <c r="Q322" t="str">
        <f>"80"</f>
        <v>80</v>
      </c>
    </row>
    <row r="323" spans="1:17" x14ac:dyDescent="0.2">
      <c r="A323" t="str">
        <f>"Unknown"</f>
        <v>Unknown</v>
      </c>
      <c r="B323" t="str">
        <f>"NPOC/TN"</f>
        <v>NPOC/TN</v>
      </c>
      <c r="C323" t="str">
        <f>"1160"</f>
        <v>1160</v>
      </c>
      <c r="D323" t="str">
        <f>"DI"</f>
        <v>DI</v>
      </c>
      <c r="E323" t="str">
        <f>"C:\TOC3201\Methods\Itamar\acid_sample.met"</f>
        <v>C:\TOC3201\Methods\Itamar\acid_sample.met</v>
      </c>
      <c r="F323" t="str">
        <f>"C:\TOC3201\CalCurves\Itamar\C_cal_100ppm_acid_laurel.2019_08_21_13_17_46.cal"</f>
        <v>C:\TOC3201\CalCurves\Itamar\C_cal_100ppm_acid_laurel.2019_08_21_13_17_46.cal</v>
      </c>
      <c r="G323">
        <v>1</v>
      </c>
      <c r="H323" t="str">
        <f>""</f>
        <v/>
      </c>
      <c r="I323" t="str">
        <f>"8/22/2019 5:54:54 AM"</f>
        <v>8/22/2019 5:54:54 AM</v>
      </c>
      <c r="J323" t="str">
        <f>"1"</f>
        <v>1</v>
      </c>
      <c r="K323" t="str">
        <f>"3"</f>
        <v>3</v>
      </c>
      <c r="L323" t="str">
        <f>"NPOC"</f>
        <v>NPOC</v>
      </c>
      <c r="M323" t="str">
        <f>"118.5"</f>
        <v>118.5</v>
      </c>
      <c r="N323" t="str">
        <f>"23.90"</f>
        <v>23.90</v>
      </c>
      <c r="O323" t="str">
        <f>"NPOC:22.98mg/L TN:3.052mg/L"</f>
        <v>NPOC:22.98mg/L TN:3.052mg/L</v>
      </c>
      <c r="P323">
        <v>1</v>
      </c>
      <c r="Q323" t="str">
        <f>"80"</f>
        <v>80</v>
      </c>
    </row>
    <row r="324" spans="1:17" x14ac:dyDescent="0.2">
      <c r="A324" t="str">
        <f>"Unknown"</f>
        <v>Unknown</v>
      </c>
      <c r="B324" t="str">
        <f>"NPOC/TN"</f>
        <v>NPOC/TN</v>
      </c>
      <c r="C324" t="str">
        <f>"1160"</f>
        <v>1160</v>
      </c>
      <c r="D324" t="str">
        <f>"DI"</f>
        <v>DI</v>
      </c>
      <c r="E324" t="str">
        <f>"C:\TOC3201\Methods\Itamar\acid_sample.met"</f>
        <v>C:\TOC3201\Methods\Itamar\acid_sample.met</v>
      </c>
      <c r="F324" t="str">
        <f>"C:\TOC3201\CalCurves\Itamar\C_cal_100ppm_acid_laurel.2019_08_21_13_17_46.cal"</f>
        <v>C:\TOC3201\CalCurves\Itamar\C_cal_100ppm_acid_laurel.2019_08_21_13_17_46.cal</v>
      </c>
      <c r="G324">
        <v>1</v>
      </c>
      <c r="H324" t="str">
        <f>""</f>
        <v/>
      </c>
      <c r="I324" t="str">
        <f>"8/22/2019 5:58:58 AM"</f>
        <v>8/22/2019 5:58:58 AM</v>
      </c>
      <c r="J324" t="str">
        <f>"1"</f>
        <v>1</v>
      </c>
      <c r="K324" t="str">
        <f>"4"</f>
        <v>4</v>
      </c>
      <c r="L324" t="str">
        <f>"NPOC"</f>
        <v>NPOC</v>
      </c>
      <c r="M324" t="str">
        <f>"116.1"</f>
        <v>116.1</v>
      </c>
      <c r="N324" t="str">
        <f>"23.41"</f>
        <v>23.41</v>
      </c>
      <c r="O324" t="str">
        <f>"NPOC:22.98mg/L TN:3.052mg/L"</f>
        <v>NPOC:22.98mg/L TN:3.052mg/L</v>
      </c>
      <c r="P324">
        <v>0</v>
      </c>
      <c r="Q324" t="str">
        <f>"80"</f>
        <v>80</v>
      </c>
    </row>
    <row r="325" spans="1:17" x14ac:dyDescent="0.2">
      <c r="A325" t="str">
        <f>"Unknown"</f>
        <v>Unknown</v>
      </c>
      <c r="B325" t="str">
        <f>"NPOC/TN"</f>
        <v>NPOC/TN</v>
      </c>
      <c r="C325" t="str">
        <f>"1160"</f>
        <v>1160</v>
      </c>
      <c r="D325" t="str">
        <f>"DI"</f>
        <v>DI</v>
      </c>
      <c r="E325" t="str">
        <f>"C:\TOC3201\Methods\Itamar\acid_sample.met"</f>
        <v>C:\TOC3201\Methods\Itamar\acid_sample.met</v>
      </c>
      <c r="F325" t="str">
        <f>"C:\TOC3201\CalCurves\Itamar\N_cal_25ppm_acid_laurel.2019_08_21_15_23_49.cal"</f>
        <v>C:\TOC3201\CalCurves\Itamar\N_cal_25ppm_acid_laurel.2019_08_21_15_23_49.cal</v>
      </c>
      <c r="G325">
        <v>1</v>
      </c>
      <c r="H325" t="str">
        <f>""</f>
        <v/>
      </c>
      <c r="I325" t="str">
        <f>"8/22/2019 5:46:55 AM"</f>
        <v>8/22/2019 5:46:55 AM</v>
      </c>
      <c r="J325" t="str">
        <f>"1"</f>
        <v>1</v>
      </c>
      <c r="K325" t="str">
        <f>"1"</f>
        <v>1</v>
      </c>
      <c r="L325" t="str">
        <f>"TN"</f>
        <v>TN</v>
      </c>
      <c r="M325" t="str">
        <f>"9.964"</f>
        <v>9.964</v>
      </c>
      <c r="N325" t="str">
        <f>"2.887"</f>
        <v>2.887</v>
      </c>
      <c r="O325" t="str">
        <f>"NPOC:22.98mg/L TN:3.052mg/L"</f>
        <v>NPOC:22.98mg/L TN:3.052mg/L</v>
      </c>
      <c r="P325">
        <v>1</v>
      </c>
      <c r="Q325" t="str">
        <f>"80"</f>
        <v>80</v>
      </c>
    </row>
    <row r="326" spans="1:17" x14ac:dyDescent="0.2">
      <c r="A326" t="str">
        <f>"Unknown"</f>
        <v>Unknown</v>
      </c>
      <c r="B326" t="str">
        <f>"NPOC/TN"</f>
        <v>NPOC/TN</v>
      </c>
      <c r="C326" t="str">
        <f>"1160"</f>
        <v>1160</v>
      </c>
      <c r="D326" t="str">
        <f>"DI"</f>
        <v>DI</v>
      </c>
      <c r="E326" t="str">
        <f>"C:\TOC3201\Methods\Itamar\acid_sample.met"</f>
        <v>C:\TOC3201\Methods\Itamar\acid_sample.met</v>
      </c>
      <c r="F326" t="str">
        <f>"C:\TOC3201\CalCurves\Itamar\N_cal_25ppm_acid_laurel.2019_08_21_15_23_49.cal"</f>
        <v>C:\TOC3201\CalCurves\Itamar\N_cal_25ppm_acid_laurel.2019_08_21_15_23_49.cal</v>
      </c>
      <c r="G326">
        <v>1</v>
      </c>
      <c r="H326" t="str">
        <f>""</f>
        <v/>
      </c>
      <c r="I326" t="str">
        <f>"8/22/2019 5:50:55 AM"</f>
        <v>8/22/2019 5:50:55 AM</v>
      </c>
      <c r="J326" t="str">
        <f>"1"</f>
        <v>1</v>
      </c>
      <c r="K326" t="str">
        <f>"2"</f>
        <v>2</v>
      </c>
      <c r="L326" t="str">
        <f>"TN"</f>
        <v>TN</v>
      </c>
      <c r="M326" t="str">
        <f>"10.34"</f>
        <v>10.34</v>
      </c>
      <c r="N326" t="str">
        <f>"2.990"</f>
        <v>2.990</v>
      </c>
      <c r="O326" t="str">
        <f>"NPOC:22.98mg/L TN:3.052mg/L"</f>
        <v>NPOC:22.98mg/L TN:3.052mg/L</v>
      </c>
      <c r="P326">
        <v>0</v>
      </c>
      <c r="Q326" t="str">
        <f>"80"</f>
        <v>80</v>
      </c>
    </row>
    <row r="327" spans="1:17" x14ac:dyDescent="0.2">
      <c r="A327" t="str">
        <f>"Unknown"</f>
        <v>Unknown</v>
      </c>
      <c r="B327" t="str">
        <f>"NPOC/TN"</f>
        <v>NPOC/TN</v>
      </c>
      <c r="C327" t="str">
        <f>"1160"</f>
        <v>1160</v>
      </c>
      <c r="D327" t="str">
        <f>"DI"</f>
        <v>DI</v>
      </c>
      <c r="E327" t="str">
        <f>"C:\TOC3201\Methods\Itamar\acid_sample.met"</f>
        <v>C:\TOC3201\Methods\Itamar\acid_sample.met</v>
      </c>
      <c r="F327" t="str">
        <f>"C:\TOC3201\CalCurves\Itamar\N_cal_25ppm_acid_laurel.2019_08_21_15_23_49.cal"</f>
        <v>C:\TOC3201\CalCurves\Itamar\N_cal_25ppm_acid_laurel.2019_08_21_15_23_49.cal</v>
      </c>
      <c r="G327">
        <v>1</v>
      </c>
      <c r="H327" t="str">
        <f>""</f>
        <v/>
      </c>
      <c r="I327" t="str">
        <f>"8/22/2019 5:54:54 AM"</f>
        <v>8/22/2019 5:54:54 AM</v>
      </c>
      <c r="J327" t="str">
        <f>"1"</f>
        <v>1</v>
      </c>
      <c r="K327" t="str">
        <f>"3"</f>
        <v>3</v>
      </c>
      <c r="L327" t="str">
        <f>"TN"</f>
        <v>TN</v>
      </c>
      <c r="M327" t="str">
        <f>"11.98"</f>
        <v>11.98</v>
      </c>
      <c r="N327" t="str">
        <f>"3.440"</f>
        <v>3.440</v>
      </c>
      <c r="O327" t="str">
        <f>"NPOC:22.98mg/L TN:3.052mg/L"</f>
        <v>NPOC:22.98mg/L TN:3.052mg/L</v>
      </c>
      <c r="P327">
        <v>1</v>
      </c>
      <c r="Q327" t="str">
        <f>"80"</f>
        <v>80</v>
      </c>
    </row>
    <row r="328" spans="1:17" x14ac:dyDescent="0.2">
      <c r="A328" t="str">
        <f>"Unknown"</f>
        <v>Unknown</v>
      </c>
      <c r="B328" t="str">
        <f>"NPOC/TN"</f>
        <v>NPOC/TN</v>
      </c>
      <c r="C328" t="str">
        <f>"1160"</f>
        <v>1160</v>
      </c>
      <c r="D328" t="str">
        <f>"DI"</f>
        <v>DI</v>
      </c>
      <c r="E328" t="str">
        <f>"C:\TOC3201\Methods\Itamar\acid_sample.met"</f>
        <v>C:\TOC3201\Methods\Itamar\acid_sample.met</v>
      </c>
      <c r="F328" t="str">
        <f>"C:\TOC3201\CalCurves\Itamar\N_cal_25ppm_acid_laurel.2019_08_21_15_23_49.cal"</f>
        <v>C:\TOC3201\CalCurves\Itamar\N_cal_25ppm_acid_laurel.2019_08_21_15_23_49.cal</v>
      </c>
      <c r="G328">
        <v>1</v>
      </c>
      <c r="H328" t="str">
        <f>""</f>
        <v/>
      </c>
      <c r="I328" t="str">
        <f>"8/22/2019 5:58:58 AM"</f>
        <v>8/22/2019 5:58:58 AM</v>
      </c>
      <c r="J328" t="str">
        <f>"1"</f>
        <v>1</v>
      </c>
      <c r="K328" t="str">
        <f>"4"</f>
        <v>4</v>
      </c>
      <c r="L328" t="str">
        <f>"TN"</f>
        <v>TN</v>
      </c>
      <c r="M328" t="str">
        <f>"10.69"</f>
        <v>10.69</v>
      </c>
      <c r="N328" t="str">
        <f>"3.086"</f>
        <v>3.086</v>
      </c>
      <c r="O328" t="str">
        <f>"NPOC:22.98mg/L TN:3.052mg/L"</f>
        <v>NPOC:22.98mg/L TN:3.052mg/L</v>
      </c>
      <c r="P328">
        <v>0</v>
      </c>
      <c r="Q328" t="str">
        <f>"80"</f>
        <v>80</v>
      </c>
    </row>
    <row r="329" spans="1:17" x14ac:dyDescent="0.2">
      <c r="A329" t="str">
        <f>"Unknown"</f>
        <v>Unknown</v>
      </c>
      <c r="B329" t="str">
        <f>"NPOC/TN"</f>
        <v>NPOC/TN</v>
      </c>
      <c r="C329" t="str">
        <f>"1160"</f>
        <v>1160</v>
      </c>
      <c r="D329" t="str">
        <f>"DI"</f>
        <v>DI</v>
      </c>
      <c r="E329" t="str">
        <f>"C:\TOC3201\Methods\Itamar\acid_sample.met"</f>
        <v>C:\TOC3201\Methods\Itamar\acid_sample.met</v>
      </c>
      <c r="F329" t="str">
        <f>"C:\TOC3201\CalCurves\Itamar\N_cal_25ppm_acid_laurel.2019_08_21_15_23_49.cal"</f>
        <v>C:\TOC3201\CalCurves\Itamar\N_cal_25ppm_acid_laurel.2019_08_21_15_23_49.cal</v>
      </c>
      <c r="G329">
        <v>1</v>
      </c>
      <c r="H329" t="str">
        <f>""</f>
        <v/>
      </c>
      <c r="I329" t="str">
        <f>"8/22/2019 6:02:18 AM"</f>
        <v>8/22/2019 6:02:18 AM</v>
      </c>
      <c r="J329" t="str">
        <f>"1"</f>
        <v>1</v>
      </c>
      <c r="K329" t="str">
        <f>"5"</f>
        <v>5</v>
      </c>
      <c r="L329" t="str">
        <f>"TN"</f>
        <v>TN</v>
      </c>
      <c r="M329" t="str">
        <f>"10.67"</f>
        <v>10.67</v>
      </c>
      <c r="N329" t="str">
        <f>"3.081"</f>
        <v>3.081</v>
      </c>
      <c r="O329" t="str">
        <f>"NPOC:22.98mg/L TN:3.052mg/L"</f>
        <v>NPOC:22.98mg/L TN:3.052mg/L</v>
      </c>
      <c r="P329">
        <v>0</v>
      </c>
      <c r="Q329" t="str">
        <f>"80"</f>
        <v>80</v>
      </c>
    </row>
    <row r="330" spans="1:17" x14ac:dyDescent="0.2">
      <c r="A330" t="str">
        <f>"Unknown"</f>
        <v>Unknown</v>
      </c>
      <c r="B330" t="str">
        <f>"NPOC/TN"</f>
        <v>NPOC/TN</v>
      </c>
      <c r="C330" t="str">
        <f>"1162"</f>
        <v>1162</v>
      </c>
      <c r="D330" t="str">
        <f>"DI"</f>
        <v>DI</v>
      </c>
      <c r="E330" t="str">
        <f>"C:\TOC3201\Methods\Itamar\acid_sample.met"</f>
        <v>C:\TOC3201\Methods\Itamar\acid_sample.met</v>
      </c>
      <c r="F330" t="str">
        <f>"C:\TOC3201\CalCurves\Itamar\C_cal_100ppm_acid_laurel.2019_08_21_13_17_46.cal"</f>
        <v>C:\TOC3201\CalCurves\Itamar\C_cal_100ppm_acid_laurel.2019_08_21_13_17_46.cal</v>
      </c>
      <c r="G330">
        <v>1</v>
      </c>
      <c r="H330" t="str">
        <f>""</f>
        <v/>
      </c>
      <c r="I330" t="str">
        <f>"8/22/2019 6:12:41 AM"</f>
        <v>8/22/2019 6:12:41 AM</v>
      </c>
      <c r="J330" t="str">
        <f>"1"</f>
        <v>1</v>
      </c>
      <c r="K330" t="str">
        <f>"1"</f>
        <v>1</v>
      </c>
      <c r="L330" t="str">
        <f>"NPOC"</f>
        <v>NPOC</v>
      </c>
      <c r="M330" t="str">
        <f>"116.9"</f>
        <v>116.9</v>
      </c>
      <c r="N330" t="str">
        <f>"23.58"</f>
        <v>23.58</v>
      </c>
      <c r="O330" t="str">
        <f>"NPOC:23.24mg/L TN:3.288mg/L"</f>
        <v>NPOC:23.24mg/L TN:3.288mg/L</v>
      </c>
      <c r="P330">
        <v>0</v>
      </c>
      <c r="Q330" t="str">
        <f>"80"</f>
        <v>80</v>
      </c>
    </row>
    <row r="331" spans="1:17" x14ac:dyDescent="0.2">
      <c r="A331" t="str">
        <f>"Unknown"</f>
        <v>Unknown</v>
      </c>
      <c r="B331" t="str">
        <f>"NPOC/TN"</f>
        <v>NPOC/TN</v>
      </c>
      <c r="C331" t="str">
        <f>"1162"</f>
        <v>1162</v>
      </c>
      <c r="D331" t="str">
        <f>"DI"</f>
        <v>DI</v>
      </c>
      <c r="E331" t="str">
        <f>"C:\TOC3201\Methods\Itamar\acid_sample.met"</f>
        <v>C:\TOC3201\Methods\Itamar\acid_sample.met</v>
      </c>
      <c r="F331" t="str">
        <f>"C:\TOC3201\CalCurves\Itamar\C_cal_100ppm_acid_laurel.2019_08_21_13_17_46.cal"</f>
        <v>C:\TOC3201\CalCurves\Itamar\C_cal_100ppm_acid_laurel.2019_08_21_13_17_46.cal</v>
      </c>
      <c r="G331">
        <v>1</v>
      </c>
      <c r="H331" t="str">
        <f>""</f>
        <v/>
      </c>
      <c r="I331" t="str">
        <f>"8/22/2019 6:16:34 AM"</f>
        <v>8/22/2019 6:16:34 AM</v>
      </c>
      <c r="J331" t="str">
        <f>"1"</f>
        <v>1</v>
      </c>
      <c r="K331" t="str">
        <f>"2"</f>
        <v>2</v>
      </c>
      <c r="L331" t="str">
        <f>"NPOC"</f>
        <v>NPOC</v>
      </c>
      <c r="M331" t="str">
        <f>"115.5"</f>
        <v>115.5</v>
      </c>
      <c r="N331" t="str">
        <f>"23.29"</f>
        <v>23.29</v>
      </c>
      <c r="O331" t="str">
        <f>"NPOC:23.24mg/L TN:3.288mg/L"</f>
        <v>NPOC:23.24mg/L TN:3.288mg/L</v>
      </c>
      <c r="P331">
        <v>0</v>
      </c>
      <c r="Q331" t="str">
        <f>"80"</f>
        <v>80</v>
      </c>
    </row>
    <row r="332" spans="1:17" x14ac:dyDescent="0.2">
      <c r="A332" t="str">
        <f>"Unknown"</f>
        <v>Unknown</v>
      </c>
      <c r="B332" t="str">
        <f>"NPOC/TN"</f>
        <v>NPOC/TN</v>
      </c>
      <c r="C332" t="str">
        <f>"1162"</f>
        <v>1162</v>
      </c>
      <c r="D332" t="str">
        <f>"DI"</f>
        <v>DI</v>
      </c>
      <c r="E332" t="str">
        <f>"C:\TOC3201\Methods\Itamar\acid_sample.met"</f>
        <v>C:\TOC3201\Methods\Itamar\acid_sample.met</v>
      </c>
      <c r="F332" t="str">
        <f>"C:\TOC3201\CalCurves\Itamar\C_cal_100ppm_acid_laurel.2019_08_21_13_17_46.cal"</f>
        <v>C:\TOC3201\CalCurves\Itamar\C_cal_100ppm_acid_laurel.2019_08_21_13_17_46.cal</v>
      </c>
      <c r="G332">
        <v>1</v>
      </c>
      <c r="H332" t="str">
        <f>""</f>
        <v/>
      </c>
      <c r="I332" t="str">
        <f>"8/22/2019 6:20:35 AM"</f>
        <v>8/22/2019 6:20:35 AM</v>
      </c>
      <c r="J332" t="str">
        <f>"1"</f>
        <v>1</v>
      </c>
      <c r="K332" t="str">
        <f>"3"</f>
        <v>3</v>
      </c>
      <c r="L332" t="str">
        <f>"NPOC"</f>
        <v>NPOC</v>
      </c>
      <c r="M332" t="str">
        <f>"125.1"</f>
        <v>125.1</v>
      </c>
      <c r="N332" t="str">
        <f>"25.25"</f>
        <v>25.25</v>
      </c>
      <c r="O332" t="str">
        <f>"NPOC:23.24mg/L TN:3.288mg/L"</f>
        <v>NPOC:23.24mg/L TN:3.288mg/L</v>
      </c>
      <c r="P332">
        <v>1</v>
      </c>
      <c r="Q332" t="str">
        <f>"80"</f>
        <v>80</v>
      </c>
    </row>
    <row r="333" spans="1:17" x14ac:dyDescent="0.2">
      <c r="A333" t="str">
        <f>"Unknown"</f>
        <v>Unknown</v>
      </c>
      <c r="B333" t="str">
        <f>"NPOC/TN"</f>
        <v>NPOC/TN</v>
      </c>
      <c r="C333" t="str">
        <f>"1162"</f>
        <v>1162</v>
      </c>
      <c r="D333" t="str">
        <f>"DI"</f>
        <v>DI</v>
      </c>
      <c r="E333" t="str">
        <f>"C:\TOC3201\Methods\Itamar\acid_sample.met"</f>
        <v>C:\TOC3201\Methods\Itamar\acid_sample.met</v>
      </c>
      <c r="F333" t="str">
        <f>"C:\TOC3201\CalCurves\Itamar\C_cal_100ppm_acid_laurel.2019_08_21_13_17_46.cal"</f>
        <v>C:\TOC3201\CalCurves\Itamar\C_cal_100ppm_acid_laurel.2019_08_21_13_17_46.cal</v>
      </c>
      <c r="G333">
        <v>1</v>
      </c>
      <c r="H333" t="str">
        <f>""</f>
        <v/>
      </c>
      <c r="I333" t="str">
        <f>"8/22/2019 6:24:46 AM"</f>
        <v>8/22/2019 6:24:46 AM</v>
      </c>
      <c r="J333" t="str">
        <f>"1"</f>
        <v>1</v>
      </c>
      <c r="K333" t="str">
        <f>"4"</f>
        <v>4</v>
      </c>
      <c r="L333" t="str">
        <f>"NPOC"</f>
        <v>NPOC</v>
      </c>
      <c r="M333" t="str">
        <f>"123.0"</f>
        <v>123.0</v>
      </c>
      <c r="N333" t="str">
        <f>"24.82"</f>
        <v>24.82</v>
      </c>
      <c r="O333" t="str">
        <f>"NPOC:23.24mg/L TN:3.288mg/L"</f>
        <v>NPOC:23.24mg/L TN:3.288mg/L</v>
      </c>
      <c r="P333">
        <v>1</v>
      </c>
      <c r="Q333" t="str">
        <f>"80"</f>
        <v>80</v>
      </c>
    </row>
    <row r="334" spans="1:17" x14ac:dyDescent="0.2">
      <c r="A334" t="str">
        <f>"Unknown"</f>
        <v>Unknown</v>
      </c>
      <c r="B334" t="str">
        <f>"NPOC/TN"</f>
        <v>NPOC/TN</v>
      </c>
      <c r="C334" t="str">
        <f>"1162"</f>
        <v>1162</v>
      </c>
      <c r="D334" t="str">
        <f>"DI"</f>
        <v>DI</v>
      </c>
      <c r="E334" t="str">
        <f>"C:\TOC3201\Methods\Itamar\acid_sample.met"</f>
        <v>C:\TOC3201\Methods\Itamar\acid_sample.met</v>
      </c>
      <c r="F334" t="str">
        <f>"C:\TOC3201\CalCurves\Itamar\C_cal_100ppm_acid_laurel.2019_08_21_13_17_46.cal"</f>
        <v>C:\TOC3201\CalCurves\Itamar\C_cal_100ppm_acid_laurel.2019_08_21_13_17_46.cal</v>
      </c>
      <c r="G334">
        <v>1</v>
      </c>
      <c r="H334" t="str">
        <f>""</f>
        <v/>
      </c>
      <c r="I334" t="str">
        <f>"8/22/2019 6:28:47 AM"</f>
        <v>8/22/2019 6:28:47 AM</v>
      </c>
      <c r="J334" t="str">
        <f>"1"</f>
        <v>1</v>
      </c>
      <c r="K334" t="str">
        <f>"5"</f>
        <v>5</v>
      </c>
      <c r="L334" t="str">
        <f>"NPOC"</f>
        <v>NPOC</v>
      </c>
      <c r="M334" t="str">
        <f>"113.4"</f>
        <v>113.4</v>
      </c>
      <c r="N334" t="str">
        <f>"22.86"</f>
        <v>22.86</v>
      </c>
      <c r="O334" t="str">
        <f>"NPOC:23.24mg/L TN:3.288mg/L"</f>
        <v>NPOC:23.24mg/L TN:3.288mg/L</v>
      </c>
      <c r="P334">
        <v>0</v>
      </c>
      <c r="Q334" t="str">
        <f>"80"</f>
        <v>80</v>
      </c>
    </row>
    <row r="335" spans="1:17" x14ac:dyDescent="0.2">
      <c r="A335" t="str">
        <f>"Unknown"</f>
        <v>Unknown</v>
      </c>
      <c r="B335" t="str">
        <f>"NPOC/TN"</f>
        <v>NPOC/TN</v>
      </c>
      <c r="C335" t="str">
        <f>"1162"</f>
        <v>1162</v>
      </c>
      <c r="D335" t="str">
        <f>"DI"</f>
        <v>DI</v>
      </c>
      <c r="E335" t="str">
        <f>"C:\TOC3201\Methods\Itamar\acid_sample.met"</f>
        <v>C:\TOC3201\Methods\Itamar\acid_sample.met</v>
      </c>
      <c r="F335" t="str">
        <f>"C:\TOC3201\CalCurves\Itamar\N_cal_25ppm_acid_laurel.2019_08_21_15_23_49.cal"</f>
        <v>C:\TOC3201\CalCurves\Itamar\N_cal_25ppm_acid_laurel.2019_08_21_15_23_49.cal</v>
      </c>
      <c r="G335">
        <v>1</v>
      </c>
      <c r="H335" t="str">
        <f>""</f>
        <v/>
      </c>
      <c r="I335" t="str">
        <f>"8/22/2019 6:12:41 AM"</f>
        <v>8/22/2019 6:12:41 AM</v>
      </c>
      <c r="J335" t="str">
        <f>"1"</f>
        <v>1</v>
      </c>
      <c r="K335" t="str">
        <f>"1"</f>
        <v>1</v>
      </c>
      <c r="L335" t="str">
        <f>"TN"</f>
        <v>TN</v>
      </c>
      <c r="M335" t="str">
        <f>"11.29"</f>
        <v>11.29</v>
      </c>
      <c r="N335" t="str">
        <f>"3.251"</f>
        <v>3.251</v>
      </c>
      <c r="O335" t="str">
        <f>"NPOC:23.24mg/L TN:3.288mg/L"</f>
        <v>NPOC:23.24mg/L TN:3.288mg/L</v>
      </c>
      <c r="P335">
        <v>0</v>
      </c>
      <c r="Q335" t="str">
        <f>"80"</f>
        <v>80</v>
      </c>
    </row>
    <row r="336" spans="1:17" x14ac:dyDescent="0.2">
      <c r="A336" t="str">
        <f>"Unknown"</f>
        <v>Unknown</v>
      </c>
      <c r="B336" t="str">
        <f>"NPOC/TN"</f>
        <v>NPOC/TN</v>
      </c>
      <c r="C336" t="str">
        <f>"1162"</f>
        <v>1162</v>
      </c>
      <c r="D336" t="str">
        <f>"DI"</f>
        <v>DI</v>
      </c>
      <c r="E336" t="str">
        <f>"C:\TOC3201\Methods\Itamar\acid_sample.met"</f>
        <v>C:\TOC3201\Methods\Itamar\acid_sample.met</v>
      </c>
      <c r="F336" t="str">
        <f>"C:\TOC3201\CalCurves\Itamar\N_cal_25ppm_acid_laurel.2019_08_21_15_23_49.cal"</f>
        <v>C:\TOC3201\CalCurves\Itamar\N_cal_25ppm_acid_laurel.2019_08_21_15_23_49.cal</v>
      </c>
      <c r="G336">
        <v>1</v>
      </c>
      <c r="H336" t="str">
        <f>""</f>
        <v/>
      </c>
      <c r="I336" t="str">
        <f>"8/22/2019 6:16:34 AM"</f>
        <v>8/22/2019 6:16:34 AM</v>
      </c>
      <c r="J336" t="str">
        <f>"1"</f>
        <v>1</v>
      </c>
      <c r="K336" t="str">
        <f>"2"</f>
        <v>2</v>
      </c>
      <c r="L336" t="str">
        <f>"TN"</f>
        <v>TN</v>
      </c>
      <c r="M336" t="str">
        <f>"10.85"</f>
        <v>10.85</v>
      </c>
      <c r="N336" t="str">
        <f>"3.130"</f>
        <v>3.130</v>
      </c>
      <c r="O336" t="str">
        <f>"NPOC:23.24mg/L TN:3.288mg/L"</f>
        <v>NPOC:23.24mg/L TN:3.288mg/L</v>
      </c>
      <c r="P336">
        <v>1</v>
      </c>
      <c r="Q336" t="str">
        <f>"80"</f>
        <v>80</v>
      </c>
    </row>
    <row r="337" spans="1:17" x14ac:dyDescent="0.2">
      <c r="A337" t="str">
        <f>"Unknown"</f>
        <v>Unknown</v>
      </c>
      <c r="B337" t="str">
        <f>"NPOC/TN"</f>
        <v>NPOC/TN</v>
      </c>
      <c r="C337" t="str">
        <f>"1162"</f>
        <v>1162</v>
      </c>
      <c r="D337" t="str">
        <f>"DI"</f>
        <v>DI</v>
      </c>
      <c r="E337" t="str">
        <f>"C:\TOC3201\Methods\Itamar\acid_sample.met"</f>
        <v>C:\TOC3201\Methods\Itamar\acid_sample.met</v>
      </c>
      <c r="F337" t="str">
        <f>"C:\TOC3201\CalCurves\Itamar\N_cal_25ppm_acid_laurel.2019_08_21_15_23_49.cal"</f>
        <v>C:\TOC3201\CalCurves\Itamar\N_cal_25ppm_acid_laurel.2019_08_21_15_23_49.cal</v>
      </c>
      <c r="G337">
        <v>1</v>
      </c>
      <c r="H337" t="str">
        <f>""</f>
        <v/>
      </c>
      <c r="I337" t="str">
        <f>"8/22/2019 6:20:35 AM"</f>
        <v>8/22/2019 6:20:35 AM</v>
      </c>
      <c r="J337" t="str">
        <f>"1"</f>
        <v>1</v>
      </c>
      <c r="K337" t="str">
        <f>"3"</f>
        <v>3</v>
      </c>
      <c r="L337" t="str">
        <f>"TN"</f>
        <v>TN</v>
      </c>
      <c r="M337" t="str">
        <f>"11.49"</f>
        <v>11.49</v>
      </c>
      <c r="N337" t="str">
        <f>"3.306"</f>
        <v>3.306</v>
      </c>
      <c r="O337" t="str">
        <f>"NPOC:23.24mg/L TN:3.288mg/L"</f>
        <v>NPOC:23.24mg/L TN:3.288mg/L</v>
      </c>
      <c r="P337">
        <v>0</v>
      </c>
      <c r="Q337" t="str">
        <f>"80"</f>
        <v>80</v>
      </c>
    </row>
    <row r="338" spans="1:17" x14ac:dyDescent="0.2">
      <c r="A338" t="str">
        <f>"Unknown"</f>
        <v>Unknown</v>
      </c>
      <c r="B338" t="str">
        <f>"NPOC/TN"</f>
        <v>NPOC/TN</v>
      </c>
      <c r="C338" t="str">
        <f>"1162"</f>
        <v>1162</v>
      </c>
      <c r="D338" t="str">
        <f>"DI"</f>
        <v>DI</v>
      </c>
      <c r="E338" t="str">
        <f>"C:\TOC3201\Methods\Itamar\acid_sample.met"</f>
        <v>C:\TOC3201\Methods\Itamar\acid_sample.met</v>
      </c>
      <c r="F338" t="str">
        <f>"C:\TOC3201\CalCurves\Itamar\N_cal_25ppm_acid_laurel.2019_08_21_15_23_49.cal"</f>
        <v>C:\TOC3201\CalCurves\Itamar\N_cal_25ppm_acid_laurel.2019_08_21_15_23_49.cal</v>
      </c>
      <c r="G338">
        <v>1</v>
      </c>
      <c r="H338" t="str">
        <f>""</f>
        <v/>
      </c>
      <c r="I338" t="str">
        <f>"8/22/2019 6:24:46 AM"</f>
        <v>8/22/2019 6:24:46 AM</v>
      </c>
      <c r="J338" t="str">
        <f>"1"</f>
        <v>1</v>
      </c>
      <c r="K338" t="str">
        <f>"4"</f>
        <v>4</v>
      </c>
      <c r="L338" t="str">
        <f>"TN"</f>
        <v>TN</v>
      </c>
      <c r="M338" t="str">
        <f>"11.50"</f>
        <v>11.50</v>
      </c>
      <c r="N338" t="str">
        <f>"3.308"</f>
        <v>3.308</v>
      </c>
      <c r="O338" t="str">
        <f>"NPOC:23.24mg/L TN:3.288mg/L"</f>
        <v>NPOC:23.24mg/L TN:3.288mg/L</v>
      </c>
      <c r="P338">
        <v>0</v>
      </c>
      <c r="Q338" t="str">
        <f>"80"</f>
        <v>80</v>
      </c>
    </row>
    <row r="339" spans="1:17" x14ac:dyDescent="0.2">
      <c r="A339" t="str">
        <f>"Unknown"</f>
        <v>Unknown</v>
      </c>
      <c r="B339" t="str">
        <f>"NPOC/TN"</f>
        <v>NPOC/TN</v>
      </c>
      <c r="C339" t="str">
        <f>"1164"</f>
        <v>1164</v>
      </c>
      <c r="D339" t="str">
        <f>"DI"</f>
        <v>DI</v>
      </c>
      <c r="E339" t="str">
        <f>"C:\TOC3201\Methods\Itamar\acid_sample.met"</f>
        <v>C:\TOC3201\Methods\Itamar\acid_sample.met</v>
      </c>
      <c r="F339" t="str">
        <f>"C:\TOC3201\CalCurves\Itamar\C_cal_100ppm_acid_laurel.2019_08_21_13_17_46.cal"</f>
        <v>C:\TOC3201\CalCurves\Itamar\C_cal_100ppm_acid_laurel.2019_08_21_13_17_46.cal</v>
      </c>
      <c r="G339">
        <v>1</v>
      </c>
      <c r="H339" t="str">
        <f>""</f>
        <v/>
      </c>
      <c r="I339" t="str">
        <f>"8/22/2019 6:39:07 AM"</f>
        <v>8/22/2019 6:39:07 AM</v>
      </c>
      <c r="J339" t="str">
        <f>"1"</f>
        <v>1</v>
      </c>
      <c r="K339" t="str">
        <f>"1"</f>
        <v>1</v>
      </c>
      <c r="L339" t="str">
        <f>"NPOC"</f>
        <v>NPOC</v>
      </c>
      <c r="M339" t="str">
        <f>"118.9"</f>
        <v>118.9</v>
      </c>
      <c r="N339" t="str">
        <f>"23.99"</f>
        <v>23.99</v>
      </c>
      <c r="O339" t="str">
        <f>"NPOC:24.48mg/L TN:3.354mg/L"</f>
        <v>NPOC:24.48mg/L TN:3.354mg/L</v>
      </c>
      <c r="P339">
        <v>0</v>
      </c>
      <c r="Q339" t="str">
        <f>"80"</f>
        <v>80</v>
      </c>
    </row>
    <row r="340" spans="1:17" x14ac:dyDescent="0.2">
      <c r="A340" t="str">
        <f>"Unknown"</f>
        <v>Unknown</v>
      </c>
      <c r="B340" t="str">
        <f>"NPOC/TN"</f>
        <v>NPOC/TN</v>
      </c>
      <c r="C340" t="str">
        <f>"1164"</f>
        <v>1164</v>
      </c>
      <c r="D340" t="str">
        <f>"DI"</f>
        <v>DI</v>
      </c>
      <c r="E340" t="str">
        <f>"C:\TOC3201\Methods\Itamar\acid_sample.met"</f>
        <v>C:\TOC3201\Methods\Itamar\acid_sample.met</v>
      </c>
      <c r="F340" t="str">
        <f>"C:\TOC3201\CalCurves\Itamar\C_cal_100ppm_acid_laurel.2019_08_21_13_17_46.cal"</f>
        <v>C:\TOC3201\CalCurves\Itamar\C_cal_100ppm_acid_laurel.2019_08_21_13_17_46.cal</v>
      </c>
      <c r="G340">
        <v>1</v>
      </c>
      <c r="H340" t="str">
        <f>""</f>
        <v/>
      </c>
      <c r="I340" t="str">
        <f>"8/22/2019 6:43:09 AM"</f>
        <v>8/22/2019 6:43:09 AM</v>
      </c>
      <c r="J340" t="str">
        <f>"1"</f>
        <v>1</v>
      </c>
      <c r="K340" t="str">
        <f>"2"</f>
        <v>2</v>
      </c>
      <c r="L340" t="str">
        <f>"NPOC"</f>
        <v>NPOC</v>
      </c>
      <c r="M340" t="str">
        <f>"116.2"</f>
        <v>116.2</v>
      </c>
      <c r="N340" t="str">
        <f>"23.43"</f>
        <v>23.43</v>
      </c>
      <c r="O340" t="str">
        <f>"NPOC:24.48mg/L TN:3.354mg/L"</f>
        <v>NPOC:24.48mg/L TN:3.354mg/L</v>
      </c>
      <c r="P340">
        <v>1</v>
      </c>
      <c r="Q340" t="str">
        <f>"80"</f>
        <v>80</v>
      </c>
    </row>
    <row r="341" spans="1:17" x14ac:dyDescent="0.2">
      <c r="A341" t="str">
        <f>"Unknown"</f>
        <v>Unknown</v>
      </c>
      <c r="B341" t="str">
        <f>"NPOC/TN"</f>
        <v>NPOC/TN</v>
      </c>
      <c r="C341" t="str">
        <f>"1164"</f>
        <v>1164</v>
      </c>
      <c r="D341" t="str">
        <f>"DI"</f>
        <v>DI</v>
      </c>
      <c r="E341" t="str">
        <f>"C:\TOC3201\Methods\Itamar\acid_sample.met"</f>
        <v>C:\TOC3201\Methods\Itamar\acid_sample.met</v>
      </c>
      <c r="F341" t="str">
        <f>"C:\TOC3201\CalCurves\Itamar\C_cal_100ppm_acid_laurel.2019_08_21_13_17_46.cal"</f>
        <v>C:\TOC3201\CalCurves\Itamar\C_cal_100ppm_acid_laurel.2019_08_21_13_17_46.cal</v>
      </c>
      <c r="G341">
        <v>1</v>
      </c>
      <c r="H341" t="str">
        <f>""</f>
        <v/>
      </c>
      <c r="I341" t="str">
        <f>"8/22/2019 6:47:06 AM"</f>
        <v>8/22/2019 6:47:06 AM</v>
      </c>
      <c r="J341" t="str">
        <f>"1"</f>
        <v>1</v>
      </c>
      <c r="K341" t="str">
        <f>"3"</f>
        <v>3</v>
      </c>
      <c r="L341" t="str">
        <f>"NPOC"</f>
        <v>NPOC</v>
      </c>
      <c r="M341" t="str">
        <f>"122.1"</f>
        <v>122.1</v>
      </c>
      <c r="N341" t="str">
        <f>"24.64"</f>
        <v>24.64</v>
      </c>
      <c r="O341" t="str">
        <f>"NPOC:24.48mg/L TN:3.354mg/L"</f>
        <v>NPOC:24.48mg/L TN:3.354mg/L</v>
      </c>
      <c r="P341">
        <v>0</v>
      </c>
      <c r="Q341" t="str">
        <f>"80"</f>
        <v>80</v>
      </c>
    </row>
    <row r="342" spans="1:17" x14ac:dyDescent="0.2">
      <c r="A342" t="str">
        <f>"Unknown"</f>
        <v>Unknown</v>
      </c>
      <c r="B342" t="str">
        <f>"NPOC/TN"</f>
        <v>NPOC/TN</v>
      </c>
      <c r="C342" t="str">
        <f>"1164"</f>
        <v>1164</v>
      </c>
      <c r="D342" t="str">
        <f>"DI"</f>
        <v>DI</v>
      </c>
      <c r="E342" t="str">
        <f>"C:\TOC3201\Methods\Itamar\acid_sample.met"</f>
        <v>C:\TOC3201\Methods\Itamar\acid_sample.met</v>
      </c>
      <c r="F342" t="str">
        <f>"C:\TOC3201\CalCurves\Itamar\C_cal_100ppm_acid_laurel.2019_08_21_13_17_46.cal"</f>
        <v>C:\TOC3201\CalCurves\Itamar\C_cal_100ppm_acid_laurel.2019_08_21_13_17_46.cal</v>
      </c>
      <c r="G342">
        <v>1</v>
      </c>
      <c r="H342" t="str">
        <f>""</f>
        <v/>
      </c>
      <c r="I342" t="str">
        <f>"8/22/2019 6:51:16 AM"</f>
        <v>8/22/2019 6:51:16 AM</v>
      </c>
      <c r="J342" t="str">
        <f>"1"</f>
        <v>1</v>
      </c>
      <c r="K342" t="str">
        <f>"4"</f>
        <v>4</v>
      </c>
      <c r="L342" t="str">
        <f>"NPOC"</f>
        <v>NPOC</v>
      </c>
      <c r="M342" t="str">
        <f>"122.9"</f>
        <v>122.9</v>
      </c>
      <c r="N342" t="str">
        <f>"24.80"</f>
        <v>24.80</v>
      </c>
      <c r="O342" t="str">
        <f>"NPOC:24.48mg/L TN:3.354mg/L"</f>
        <v>NPOC:24.48mg/L TN:3.354mg/L</v>
      </c>
      <c r="P342">
        <v>0</v>
      </c>
      <c r="Q342" t="str">
        <f>"80"</f>
        <v>80</v>
      </c>
    </row>
    <row r="343" spans="1:17" x14ac:dyDescent="0.2">
      <c r="A343" t="str">
        <f>"Unknown"</f>
        <v>Unknown</v>
      </c>
      <c r="B343" t="str">
        <f>"NPOC/TN"</f>
        <v>NPOC/TN</v>
      </c>
      <c r="C343" t="str">
        <f>"1164"</f>
        <v>1164</v>
      </c>
      <c r="D343" t="str">
        <f>"DI"</f>
        <v>DI</v>
      </c>
      <c r="E343" t="str">
        <f>"C:\TOC3201\Methods\Itamar\acid_sample.met"</f>
        <v>C:\TOC3201\Methods\Itamar\acid_sample.met</v>
      </c>
      <c r="F343" t="str">
        <f>"C:\TOC3201\CalCurves\Itamar\N_cal_25ppm_acid_laurel.2019_08_21_15_23_49.cal"</f>
        <v>C:\TOC3201\CalCurves\Itamar\N_cal_25ppm_acid_laurel.2019_08_21_15_23_49.cal</v>
      </c>
      <c r="G343">
        <v>1</v>
      </c>
      <c r="H343" t="str">
        <f>""</f>
        <v/>
      </c>
      <c r="I343" t="str">
        <f>"8/22/2019 6:39:07 AM"</f>
        <v>8/22/2019 6:39:07 AM</v>
      </c>
      <c r="J343" t="str">
        <f>"1"</f>
        <v>1</v>
      </c>
      <c r="K343" t="str">
        <f>"1"</f>
        <v>1</v>
      </c>
      <c r="L343" t="str">
        <f>"TN"</f>
        <v>TN</v>
      </c>
      <c r="M343" t="str">
        <f>"11.54"</f>
        <v>11.54</v>
      </c>
      <c r="N343" t="str">
        <f>"3.319"</f>
        <v>3.319</v>
      </c>
      <c r="O343" t="str">
        <f>"NPOC:24.48mg/L TN:3.354mg/L"</f>
        <v>NPOC:24.48mg/L TN:3.354mg/L</v>
      </c>
      <c r="P343">
        <v>0</v>
      </c>
      <c r="Q343" t="str">
        <f>"80"</f>
        <v>80</v>
      </c>
    </row>
    <row r="344" spans="1:17" x14ac:dyDescent="0.2">
      <c r="A344" t="str">
        <f>"Unknown"</f>
        <v>Unknown</v>
      </c>
      <c r="B344" t="str">
        <f>"NPOC/TN"</f>
        <v>NPOC/TN</v>
      </c>
      <c r="C344" t="str">
        <f>"1164"</f>
        <v>1164</v>
      </c>
      <c r="D344" t="str">
        <f>"DI"</f>
        <v>DI</v>
      </c>
      <c r="E344" t="str">
        <f>"C:\TOC3201\Methods\Itamar\acid_sample.met"</f>
        <v>C:\TOC3201\Methods\Itamar\acid_sample.met</v>
      </c>
      <c r="F344" t="str">
        <f>"C:\TOC3201\CalCurves\Itamar\N_cal_25ppm_acid_laurel.2019_08_21_15_23_49.cal"</f>
        <v>C:\TOC3201\CalCurves\Itamar\N_cal_25ppm_acid_laurel.2019_08_21_15_23_49.cal</v>
      </c>
      <c r="G344">
        <v>1</v>
      </c>
      <c r="H344" t="str">
        <f>""</f>
        <v/>
      </c>
      <c r="I344" t="str">
        <f>"8/22/2019 6:43:09 AM"</f>
        <v>8/22/2019 6:43:09 AM</v>
      </c>
      <c r="J344" t="str">
        <f>"1"</f>
        <v>1</v>
      </c>
      <c r="K344" t="str">
        <f>"2"</f>
        <v>2</v>
      </c>
      <c r="L344" t="str">
        <f>"TN"</f>
        <v>TN</v>
      </c>
      <c r="M344" t="str">
        <f>"11.19"</f>
        <v>11.19</v>
      </c>
      <c r="N344" t="str">
        <f>"3.223"</f>
        <v>3.223</v>
      </c>
      <c r="O344" t="str">
        <f>"NPOC:24.48mg/L TN:3.354mg/L"</f>
        <v>NPOC:24.48mg/L TN:3.354mg/L</v>
      </c>
      <c r="P344">
        <v>1</v>
      </c>
      <c r="Q344" t="str">
        <f>"80"</f>
        <v>80</v>
      </c>
    </row>
    <row r="345" spans="1:17" x14ac:dyDescent="0.2">
      <c r="A345" t="str">
        <f>"Unknown"</f>
        <v>Unknown</v>
      </c>
      <c r="B345" t="str">
        <f>"NPOC/TN"</f>
        <v>NPOC/TN</v>
      </c>
      <c r="C345" t="str">
        <f>"1164"</f>
        <v>1164</v>
      </c>
      <c r="D345" t="str">
        <f>"DI"</f>
        <v>DI</v>
      </c>
      <c r="E345" t="str">
        <f>"C:\TOC3201\Methods\Itamar\acid_sample.met"</f>
        <v>C:\TOC3201\Methods\Itamar\acid_sample.met</v>
      </c>
      <c r="F345" t="str">
        <f>"C:\TOC3201\CalCurves\Itamar\N_cal_25ppm_acid_laurel.2019_08_21_15_23_49.cal"</f>
        <v>C:\TOC3201\CalCurves\Itamar\N_cal_25ppm_acid_laurel.2019_08_21_15_23_49.cal</v>
      </c>
      <c r="G345">
        <v>1</v>
      </c>
      <c r="H345" t="str">
        <f>""</f>
        <v/>
      </c>
      <c r="I345" t="str">
        <f>"8/22/2019 6:47:06 AM"</f>
        <v>8/22/2019 6:47:06 AM</v>
      </c>
      <c r="J345" t="str">
        <f>"1"</f>
        <v>1</v>
      </c>
      <c r="K345" t="str">
        <f>"3"</f>
        <v>3</v>
      </c>
      <c r="L345" t="str">
        <f>"TN"</f>
        <v>TN</v>
      </c>
      <c r="M345" t="str">
        <f>"11.65"</f>
        <v>11.65</v>
      </c>
      <c r="N345" t="str">
        <f>"3.350"</f>
        <v>3.350</v>
      </c>
      <c r="O345" t="str">
        <f>"NPOC:24.48mg/L TN:3.354mg/L"</f>
        <v>NPOC:24.48mg/L TN:3.354mg/L</v>
      </c>
      <c r="P345">
        <v>0</v>
      </c>
      <c r="Q345" t="str">
        <f>"80"</f>
        <v>80</v>
      </c>
    </row>
    <row r="346" spans="1:17" x14ac:dyDescent="0.2">
      <c r="A346" t="str">
        <f>"Unknown"</f>
        <v>Unknown</v>
      </c>
      <c r="B346" t="str">
        <f>"NPOC/TN"</f>
        <v>NPOC/TN</v>
      </c>
      <c r="C346" t="str">
        <f>"1164"</f>
        <v>1164</v>
      </c>
      <c r="D346" t="str">
        <f>"DI"</f>
        <v>DI</v>
      </c>
      <c r="E346" t="str">
        <f>"C:\TOC3201\Methods\Itamar\acid_sample.met"</f>
        <v>C:\TOC3201\Methods\Itamar\acid_sample.met</v>
      </c>
      <c r="F346" t="str">
        <f>"C:\TOC3201\CalCurves\Itamar\N_cal_25ppm_acid_laurel.2019_08_21_15_23_49.cal"</f>
        <v>C:\TOC3201\CalCurves\Itamar\N_cal_25ppm_acid_laurel.2019_08_21_15_23_49.cal</v>
      </c>
      <c r="G346">
        <v>1</v>
      </c>
      <c r="H346" t="str">
        <f>""</f>
        <v/>
      </c>
      <c r="I346" t="str">
        <f>"8/22/2019 6:51:16 AM"</f>
        <v>8/22/2019 6:51:16 AM</v>
      </c>
      <c r="J346" t="str">
        <f>"1"</f>
        <v>1</v>
      </c>
      <c r="K346" t="str">
        <f>"4"</f>
        <v>4</v>
      </c>
      <c r="L346" t="str">
        <f>"TN"</f>
        <v>TN</v>
      </c>
      <c r="M346" t="str">
        <f>"11.81"</f>
        <v>11.81</v>
      </c>
      <c r="N346" t="str">
        <f>"3.393"</f>
        <v>3.393</v>
      </c>
      <c r="O346" t="str">
        <f>"NPOC:24.48mg/L TN:3.354mg/L"</f>
        <v>NPOC:24.48mg/L TN:3.354mg/L</v>
      </c>
      <c r="P346">
        <v>0</v>
      </c>
      <c r="Q346" t="str">
        <f>"80"</f>
        <v>80</v>
      </c>
    </row>
    <row r="347" spans="1:17" x14ac:dyDescent="0.2">
      <c r="A347" t="str">
        <f>"Unknown"</f>
        <v>Unknown</v>
      </c>
      <c r="B347" t="str">
        <f>"NPOC/TN"</f>
        <v>NPOC/TN</v>
      </c>
      <c r="C347" t="str">
        <f>"1166"</f>
        <v>1166</v>
      </c>
      <c r="D347" t="str">
        <f>"DI"</f>
        <v>DI</v>
      </c>
      <c r="E347" t="str">
        <f>"C:\TOC3201\Methods\Itamar\acid_sample.met"</f>
        <v>C:\TOC3201\Methods\Itamar\acid_sample.met</v>
      </c>
      <c r="F347" t="str">
        <f>"C:\TOC3201\CalCurves\Itamar\C_cal_100ppm_acid_laurel.2019_08_21_13_17_46.cal"</f>
        <v>C:\TOC3201\CalCurves\Itamar\C_cal_100ppm_acid_laurel.2019_08_21_13_17_46.cal</v>
      </c>
      <c r="G347">
        <v>1</v>
      </c>
      <c r="H347" t="str">
        <f>""</f>
        <v/>
      </c>
      <c r="I347" t="str">
        <f>"8/22/2019 7:01:40 AM"</f>
        <v>8/22/2019 7:01:40 AM</v>
      </c>
      <c r="J347" t="str">
        <f>"1"</f>
        <v>1</v>
      </c>
      <c r="K347" t="str">
        <f>"1"</f>
        <v>1</v>
      </c>
      <c r="L347" t="str">
        <f>"NPOC"</f>
        <v>NPOC</v>
      </c>
      <c r="M347" t="str">
        <f>"112.3"</f>
        <v>112.3</v>
      </c>
      <c r="N347" t="str">
        <f>"22.64"</f>
        <v>22.64</v>
      </c>
      <c r="O347" t="str">
        <f>"NPOC:22.24mg/L TN:3.137mg/L"</f>
        <v>NPOC:22.24mg/L TN:3.137mg/L</v>
      </c>
      <c r="P347">
        <v>0</v>
      </c>
      <c r="Q347" t="str">
        <f>"80"</f>
        <v>80</v>
      </c>
    </row>
    <row r="348" spans="1:17" x14ac:dyDescent="0.2">
      <c r="A348" t="str">
        <f>"Unknown"</f>
        <v>Unknown</v>
      </c>
      <c r="B348" t="str">
        <f>"NPOC/TN"</f>
        <v>NPOC/TN</v>
      </c>
      <c r="C348" t="str">
        <f>"1166"</f>
        <v>1166</v>
      </c>
      <c r="D348" t="str">
        <f>"DI"</f>
        <v>DI</v>
      </c>
      <c r="E348" t="str">
        <f>"C:\TOC3201\Methods\Itamar\acid_sample.met"</f>
        <v>C:\TOC3201\Methods\Itamar\acid_sample.met</v>
      </c>
      <c r="F348" t="str">
        <f>"C:\TOC3201\CalCurves\Itamar\C_cal_100ppm_acid_laurel.2019_08_21_13_17_46.cal"</f>
        <v>C:\TOC3201\CalCurves\Itamar\C_cal_100ppm_acid_laurel.2019_08_21_13_17_46.cal</v>
      </c>
      <c r="G348">
        <v>1</v>
      </c>
      <c r="H348" t="str">
        <f>""</f>
        <v/>
      </c>
      <c r="I348" t="str">
        <f>"8/22/2019 7:05:34 AM"</f>
        <v>8/22/2019 7:05:34 AM</v>
      </c>
      <c r="J348" t="str">
        <f>"1"</f>
        <v>1</v>
      </c>
      <c r="K348" t="str">
        <f>"2"</f>
        <v>2</v>
      </c>
      <c r="L348" t="str">
        <f>"NPOC"</f>
        <v>NPOC</v>
      </c>
      <c r="M348" t="str">
        <f>"109.0"</f>
        <v>109.0</v>
      </c>
      <c r="N348" t="str">
        <f>"21.96"</f>
        <v>21.96</v>
      </c>
      <c r="O348" t="str">
        <f>"NPOC:22.24mg/L TN:3.137mg/L"</f>
        <v>NPOC:22.24mg/L TN:3.137mg/L</v>
      </c>
      <c r="P348">
        <v>0</v>
      </c>
      <c r="Q348" t="str">
        <f>"80"</f>
        <v>80</v>
      </c>
    </row>
    <row r="349" spans="1:17" x14ac:dyDescent="0.2">
      <c r="A349" t="str">
        <f>"Unknown"</f>
        <v>Unknown</v>
      </c>
      <c r="B349" t="str">
        <f>"NPOC/TN"</f>
        <v>NPOC/TN</v>
      </c>
      <c r="C349" t="str">
        <f>"1166"</f>
        <v>1166</v>
      </c>
      <c r="D349" t="str">
        <f>"DI"</f>
        <v>DI</v>
      </c>
      <c r="E349" t="str">
        <f>"C:\TOC3201\Methods\Itamar\acid_sample.met"</f>
        <v>C:\TOC3201\Methods\Itamar\acid_sample.met</v>
      </c>
      <c r="F349" t="str">
        <f>"C:\TOC3201\CalCurves\Itamar\C_cal_100ppm_acid_laurel.2019_08_21_13_17_46.cal"</f>
        <v>C:\TOC3201\CalCurves\Itamar\C_cal_100ppm_acid_laurel.2019_08_21_13_17_46.cal</v>
      </c>
      <c r="G349">
        <v>1</v>
      </c>
      <c r="H349" t="str">
        <f>""</f>
        <v/>
      </c>
      <c r="I349" t="str">
        <f>"8/22/2019 7:09:38 AM"</f>
        <v>8/22/2019 7:09:38 AM</v>
      </c>
      <c r="J349" t="str">
        <f>"1"</f>
        <v>1</v>
      </c>
      <c r="K349" t="str">
        <f>"3"</f>
        <v>3</v>
      </c>
      <c r="L349" t="str">
        <f>"NPOC"</f>
        <v>NPOC</v>
      </c>
      <c r="M349" t="str">
        <f>"115.5"</f>
        <v>115.5</v>
      </c>
      <c r="N349" t="str">
        <f>"23.29"</f>
        <v>23.29</v>
      </c>
      <c r="O349" t="str">
        <f>"NPOC:22.24mg/L TN:3.137mg/L"</f>
        <v>NPOC:22.24mg/L TN:3.137mg/L</v>
      </c>
      <c r="P349">
        <v>1</v>
      </c>
      <c r="Q349" t="str">
        <f>"80"</f>
        <v>80</v>
      </c>
    </row>
    <row r="350" spans="1:17" x14ac:dyDescent="0.2">
      <c r="A350" t="str">
        <f>"Unknown"</f>
        <v>Unknown</v>
      </c>
      <c r="B350" t="str">
        <f>"NPOC/TN"</f>
        <v>NPOC/TN</v>
      </c>
      <c r="C350" t="str">
        <f>"1166"</f>
        <v>1166</v>
      </c>
      <c r="D350" t="str">
        <f>"DI"</f>
        <v>DI</v>
      </c>
      <c r="E350" t="str">
        <f>"C:\TOC3201\Methods\Itamar\acid_sample.met"</f>
        <v>C:\TOC3201\Methods\Itamar\acid_sample.met</v>
      </c>
      <c r="F350" t="str">
        <f>"C:\TOC3201\CalCurves\Itamar\C_cal_100ppm_acid_laurel.2019_08_21_13_17_46.cal"</f>
        <v>C:\TOC3201\CalCurves\Itamar\C_cal_100ppm_acid_laurel.2019_08_21_13_17_46.cal</v>
      </c>
      <c r="G350">
        <v>1</v>
      </c>
      <c r="H350" t="str">
        <f>""</f>
        <v/>
      </c>
      <c r="I350" t="str">
        <f>"8/22/2019 7:13:33 AM"</f>
        <v>8/22/2019 7:13:33 AM</v>
      </c>
      <c r="J350" t="str">
        <f>"1"</f>
        <v>1</v>
      </c>
      <c r="K350" t="str">
        <f>"4"</f>
        <v>4</v>
      </c>
      <c r="L350" t="str">
        <f>"NPOC"</f>
        <v>NPOC</v>
      </c>
      <c r="M350" t="str">
        <f>"118.5"</f>
        <v>118.5</v>
      </c>
      <c r="N350" t="str">
        <f>"23.90"</f>
        <v>23.90</v>
      </c>
      <c r="O350" t="str">
        <f>"NPOC:22.24mg/L TN:3.137mg/L"</f>
        <v>NPOC:22.24mg/L TN:3.137mg/L</v>
      </c>
      <c r="P350">
        <v>1</v>
      </c>
      <c r="Q350" t="str">
        <f>"80"</f>
        <v>80</v>
      </c>
    </row>
    <row r="351" spans="1:17" x14ac:dyDescent="0.2">
      <c r="A351" t="str">
        <f>"Unknown"</f>
        <v>Unknown</v>
      </c>
      <c r="B351" t="str">
        <f>"NPOC/TN"</f>
        <v>NPOC/TN</v>
      </c>
      <c r="C351" t="str">
        <f>"1166"</f>
        <v>1166</v>
      </c>
      <c r="D351" t="str">
        <f>"DI"</f>
        <v>DI</v>
      </c>
      <c r="E351" t="str">
        <f>"C:\TOC3201\Methods\Itamar\acid_sample.met"</f>
        <v>C:\TOC3201\Methods\Itamar\acid_sample.met</v>
      </c>
      <c r="F351" t="str">
        <f>"C:\TOC3201\CalCurves\Itamar\C_cal_100ppm_acid_laurel.2019_08_21_13_17_46.cal"</f>
        <v>C:\TOC3201\CalCurves\Itamar\C_cal_100ppm_acid_laurel.2019_08_21_13_17_46.cal</v>
      </c>
      <c r="G351">
        <v>1</v>
      </c>
      <c r="H351" t="str">
        <f>""</f>
        <v/>
      </c>
      <c r="I351" t="str">
        <f>"8/22/2019 7:17:38 AM"</f>
        <v>8/22/2019 7:17:38 AM</v>
      </c>
      <c r="J351" t="str">
        <f>"1"</f>
        <v>1</v>
      </c>
      <c r="K351" t="str">
        <f>"5"</f>
        <v>5</v>
      </c>
      <c r="L351" t="str">
        <f>"NPOC"</f>
        <v>NPOC</v>
      </c>
      <c r="M351" t="str">
        <f>"109.8"</f>
        <v>109.8</v>
      </c>
      <c r="N351" t="str">
        <f>"22.12"</f>
        <v>22.12</v>
      </c>
      <c r="O351" t="str">
        <f>"NPOC:22.24mg/L TN:3.137mg/L"</f>
        <v>NPOC:22.24mg/L TN:3.137mg/L</v>
      </c>
      <c r="P351">
        <v>0</v>
      </c>
      <c r="Q351" t="str">
        <f>"80"</f>
        <v>80</v>
      </c>
    </row>
    <row r="352" spans="1:17" x14ac:dyDescent="0.2">
      <c r="A352" t="str">
        <f>"Unknown"</f>
        <v>Unknown</v>
      </c>
      <c r="B352" t="str">
        <f>"NPOC/TN"</f>
        <v>NPOC/TN</v>
      </c>
      <c r="C352" t="str">
        <f>"1166"</f>
        <v>1166</v>
      </c>
      <c r="D352" t="str">
        <f>"DI"</f>
        <v>DI</v>
      </c>
      <c r="E352" t="str">
        <f>"C:\TOC3201\Methods\Itamar\acid_sample.met"</f>
        <v>C:\TOC3201\Methods\Itamar\acid_sample.met</v>
      </c>
      <c r="F352" t="str">
        <f>"C:\TOC3201\CalCurves\Itamar\N_cal_25ppm_acid_laurel.2019_08_21_15_23_49.cal"</f>
        <v>C:\TOC3201\CalCurves\Itamar\N_cal_25ppm_acid_laurel.2019_08_21_15_23_49.cal</v>
      </c>
      <c r="G352">
        <v>1</v>
      </c>
      <c r="H352" t="str">
        <f>""</f>
        <v/>
      </c>
      <c r="I352" t="str">
        <f>"8/22/2019 7:01:40 AM"</f>
        <v>8/22/2019 7:01:40 AM</v>
      </c>
      <c r="J352" t="str">
        <f>"1"</f>
        <v>1</v>
      </c>
      <c r="K352" t="str">
        <f>"1"</f>
        <v>1</v>
      </c>
      <c r="L352" t="str">
        <f>"TN"</f>
        <v>TN</v>
      </c>
      <c r="M352" t="str">
        <f>"10.46"</f>
        <v>10.46</v>
      </c>
      <c r="N352" t="str">
        <f>"3.023"</f>
        <v>3.023</v>
      </c>
      <c r="O352" t="str">
        <f>"NPOC:22.24mg/L TN:3.137mg/L"</f>
        <v>NPOC:22.24mg/L TN:3.137mg/L</v>
      </c>
      <c r="P352">
        <v>1</v>
      </c>
      <c r="Q352" t="str">
        <f>"80"</f>
        <v>80</v>
      </c>
    </row>
    <row r="353" spans="1:17" x14ac:dyDescent="0.2">
      <c r="A353" t="str">
        <f>"Unknown"</f>
        <v>Unknown</v>
      </c>
      <c r="B353" t="str">
        <f>"NPOC/TN"</f>
        <v>NPOC/TN</v>
      </c>
      <c r="C353" t="str">
        <f>"1166"</f>
        <v>1166</v>
      </c>
      <c r="D353" t="str">
        <f>"DI"</f>
        <v>DI</v>
      </c>
      <c r="E353" t="str">
        <f>"C:\TOC3201\Methods\Itamar\acid_sample.met"</f>
        <v>C:\TOC3201\Methods\Itamar\acid_sample.met</v>
      </c>
      <c r="F353" t="str">
        <f>"C:\TOC3201\CalCurves\Itamar\N_cal_25ppm_acid_laurel.2019_08_21_15_23_49.cal"</f>
        <v>C:\TOC3201\CalCurves\Itamar\N_cal_25ppm_acid_laurel.2019_08_21_15_23_49.cal</v>
      </c>
      <c r="G353">
        <v>1</v>
      </c>
      <c r="H353" t="str">
        <f>""</f>
        <v/>
      </c>
      <c r="I353" t="str">
        <f>"8/22/2019 7:05:34 AM"</f>
        <v>8/22/2019 7:05:34 AM</v>
      </c>
      <c r="J353" t="str">
        <f>"1"</f>
        <v>1</v>
      </c>
      <c r="K353" t="str">
        <f>"2"</f>
        <v>2</v>
      </c>
      <c r="L353" t="str">
        <f>"TN"</f>
        <v>TN</v>
      </c>
      <c r="M353" t="str">
        <f>"9.857"</f>
        <v>9.857</v>
      </c>
      <c r="N353" t="str">
        <f>"2.858"</f>
        <v>2.858</v>
      </c>
      <c r="O353" t="str">
        <f>"NPOC:22.24mg/L TN:3.137mg/L"</f>
        <v>NPOC:22.24mg/L TN:3.137mg/L</v>
      </c>
      <c r="P353">
        <v>1</v>
      </c>
      <c r="Q353" t="str">
        <f>"80"</f>
        <v>80</v>
      </c>
    </row>
    <row r="354" spans="1:17" x14ac:dyDescent="0.2">
      <c r="A354" t="str">
        <f>"Unknown"</f>
        <v>Unknown</v>
      </c>
      <c r="B354" t="str">
        <f>"NPOC/TN"</f>
        <v>NPOC/TN</v>
      </c>
      <c r="C354" t="str">
        <f>"1166"</f>
        <v>1166</v>
      </c>
      <c r="D354" t="str">
        <f>"DI"</f>
        <v>DI</v>
      </c>
      <c r="E354" t="str">
        <f>"C:\TOC3201\Methods\Itamar\acid_sample.met"</f>
        <v>C:\TOC3201\Methods\Itamar\acid_sample.met</v>
      </c>
      <c r="F354" t="str">
        <f>"C:\TOC3201\CalCurves\Itamar\N_cal_25ppm_acid_laurel.2019_08_21_15_23_49.cal"</f>
        <v>C:\TOC3201\CalCurves\Itamar\N_cal_25ppm_acid_laurel.2019_08_21_15_23_49.cal</v>
      </c>
      <c r="G354">
        <v>1</v>
      </c>
      <c r="H354" t="str">
        <f>""</f>
        <v/>
      </c>
      <c r="I354" t="str">
        <f>"8/22/2019 7:09:38 AM"</f>
        <v>8/22/2019 7:09:38 AM</v>
      </c>
      <c r="J354" t="str">
        <f>"1"</f>
        <v>1</v>
      </c>
      <c r="K354" t="str">
        <f>"3"</f>
        <v>3</v>
      </c>
      <c r="L354" t="str">
        <f>"TN"</f>
        <v>TN</v>
      </c>
      <c r="M354" t="str">
        <f>"11.03"</f>
        <v>11.03</v>
      </c>
      <c r="N354" t="str">
        <f>"3.180"</f>
        <v>3.180</v>
      </c>
      <c r="O354" t="str">
        <f>"NPOC:22.24mg/L TN:3.137mg/L"</f>
        <v>NPOC:22.24mg/L TN:3.137mg/L</v>
      </c>
      <c r="P354">
        <v>0</v>
      </c>
      <c r="Q354" t="str">
        <f>"80"</f>
        <v>80</v>
      </c>
    </row>
    <row r="355" spans="1:17" x14ac:dyDescent="0.2">
      <c r="A355" t="str">
        <f>"Unknown"</f>
        <v>Unknown</v>
      </c>
      <c r="B355" t="str">
        <f>"NPOC/TN"</f>
        <v>NPOC/TN</v>
      </c>
      <c r="C355" t="str">
        <f>"1166"</f>
        <v>1166</v>
      </c>
      <c r="D355" t="str">
        <f>"DI"</f>
        <v>DI</v>
      </c>
      <c r="E355" t="str">
        <f>"C:\TOC3201\Methods\Itamar\acid_sample.met"</f>
        <v>C:\TOC3201\Methods\Itamar\acid_sample.met</v>
      </c>
      <c r="F355" t="str">
        <f>"C:\TOC3201\CalCurves\Itamar\N_cal_25ppm_acid_laurel.2019_08_21_15_23_49.cal"</f>
        <v>C:\TOC3201\CalCurves\Itamar\N_cal_25ppm_acid_laurel.2019_08_21_15_23_49.cal</v>
      </c>
      <c r="G355">
        <v>1</v>
      </c>
      <c r="H355" t="str">
        <f>""</f>
        <v/>
      </c>
      <c r="I355" t="str">
        <f>"8/22/2019 7:13:33 AM"</f>
        <v>8/22/2019 7:13:33 AM</v>
      </c>
      <c r="J355" t="str">
        <f>"1"</f>
        <v>1</v>
      </c>
      <c r="K355" t="str">
        <f>"4"</f>
        <v>4</v>
      </c>
      <c r="L355" t="str">
        <f>"TN"</f>
        <v>TN</v>
      </c>
      <c r="M355" t="str">
        <f>"10.80"</f>
        <v>10.80</v>
      </c>
      <c r="N355" t="str">
        <f>"3.116"</f>
        <v>3.116</v>
      </c>
      <c r="O355" t="str">
        <f>"NPOC:22.24mg/L TN:3.137mg/L"</f>
        <v>NPOC:22.24mg/L TN:3.137mg/L</v>
      </c>
      <c r="P355">
        <v>0</v>
      </c>
      <c r="Q355" t="str">
        <f>"80"</f>
        <v>80</v>
      </c>
    </row>
    <row r="356" spans="1:17" x14ac:dyDescent="0.2">
      <c r="A356" t="str">
        <f>"Unknown"</f>
        <v>Unknown</v>
      </c>
      <c r="B356" t="str">
        <f>"NPOC/TN"</f>
        <v>NPOC/TN</v>
      </c>
      <c r="C356" t="str">
        <f>"1166"</f>
        <v>1166</v>
      </c>
      <c r="D356" t="str">
        <f>"DI"</f>
        <v>DI</v>
      </c>
      <c r="E356" t="str">
        <f>"C:\TOC3201\Methods\Itamar\acid_sample.met"</f>
        <v>C:\TOC3201\Methods\Itamar\acid_sample.met</v>
      </c>
      <c r="F356" t="str">
        <f>"C:\TOC3201\CalCurves\Itamar\N_cal_25ppm_acid_laurel.2019_08_21_15_23_49.cal"</f>
        <v>C:\TOC3201\CalCurves\Itamar\N_cal_25ppm_acid_laurel.2019_08_21_15_23_49.cal</v>
      </c>
      <c r="G356">
        <v>1</v>
      </c>
      <c r="H356" t="str">
        <f>""</f>
        <v/>
      </c>
      <c r="I356" t="str">
        <f>"8/22/2019 7:17:38 AM"</f>
        <v>8/22/2019 7:17:38 AM</v>
      </c>
      <c r="J356" t="str">
        <f>"1"</f>
        <v>1</v>
      </c>
      <c r="K356" t="str">
        <f>"5"</f>
        <v>5</v>
      </c>
      <c r="L356" t="str">
        <f>"TN"</f>
        <v>TN</v>
      </c>
      <c r="M356" t="str">
        <f>"10.79"</f>
        <v>10.79</v>
      </c>
      <c r="N356" t="str">
        <f>"3.114"</f>
        <v>3.114</v>
      </c>
      <c r="O356" t="str">
        <f>"NPOC:22.24mg/L TN:3.137mg/L"</f>
        <v>NPOC:22.24mg/L TN:3.137mg/L</v>
      </c>
      <c r="P356">
        <v>0</v>
      </c>
      <c r="Q356" t="str">
        <f>"80"</f>
        <v>80</v>
      </c>
    </row>
    <row r="357" spans="1:17" x14ac:dyDescent="0.2">
      <c r="A357" t="str">
        <f>"Unknown"</f>
        <v>Unknown</v>
      </c>
      <c r="B357" t="str">
        <f>"NPOC/TN"</f>
        <v>NPOC/TN</v>
      </c>
      <c r="C357" t="str">
        <f>"1168"</f>
        <v>1168</v>
      </c>
      <c r="D357" t="str">
        <f>"DI"</f>
        <v>DI</v>
      </c>
      <c r="E357" t="str">
        <f>"C:\TOC3201\Methods\Itamar\acid_sample.met"</f>
        <v>C:\TOC3201\Methods\Itamar\acid_sample.met</v>
      </c>
      <c r="F357" t="str">
        <f>"C:\TOC3201\CalCurves\Itamar\C_cal_100ppm_acid_laurel.2019_08_21_13_17_46.cal"</f>
        <v>C:\TOC3201\CalCurves\Itamar\C_cal_100ppm_acid_laurel.2019_08_21_13_17_46.cal</v>
      </c>
      <c r="G357">
        <v>1</v>
      </c>
      <c r="H357" t="str">
        <f>""</f>
        <v/>
      </c>
      <c r="I357" t="str">
        <f>"8/22/2019 7:28:04 AM"</f>
        <v>8/22/2019 7:28:04 AM</v>
      </c>
      <c r="J357" t="str">
        <f>"1"</f>
        <v>1</v>
      </c>
      <c r="K357" t="str">
        <f>"1"</f>
        <v>1</v>
      </c>
      <c r="L357" t="str">
        <f>"NPOC"</f>
        <v>NPOC</v>
      </c>
      <c r="M357" t="str">
        <f>"120.8"</f>
        <v>120.8</v>
      </c>
      <c r="N357" t="str">
        <f>"24.37"</f>
        <v>24.37</v>
      </c>
      <c r="O357" t="str">
        <f>"NPOC:24.58mg/L TN:3.713mg/L"</f>
        <v>NPOC:24.58mg/L TN:3.713mg/L</v>
      </c>
      <c r="P357">
        <v>0</v>
      </c>
      <c r="Q357" t="str">
        <f>"80"</f>
        <v>80</v>
      </c>
    </row>
    <row r="358" spans="1:17" x14ac:dyDescent="0.2">
      <c r="A358" t="str">
        <f>"Unknown"</f>
        <v>Unknown</v>
      </c>
      <c r="B358" t="str">
        <f>"NPOC/TN"</f>
        <v>NPOC/TN</v>
      </c>
      <c r="C358" t="str">
        <f>"1168"</f>
        <v>1168</v>
      </c>
      <c r="D358" t="str">
        <f>"DI"</f>
        <v>DI</v>
      </c>
      <c r="E358" t="str">
        <f>"C:\TOC3201\Methods\Itamar\acid_sample.met"</f>
        <v>C:\TOC3201\Methods\Itamar\acid_sample.met</v>
      </c>
      <c r="F358" t="str">
        <f>"C:\TOC3201\CalCurves\Itamar\C_cal_100ppm_acid_laurel.2019_08_21_13_17_46.cal"</f>
        <v>C:\TOC3201\CalCurves\Itamar\C_cal_100ppm_acid_laurel.2019_08_21_13_17_46.cal</v>
      </c>
      <c r="G358">
        <v>1</v>
      </c>
      <c r="H358" t="str">
        <f>""</f>
        <v/>
      </c>
      <c r="I358" t="str">
        <f>"8/22/2019 7:32:07 AM"</f>
        <v>8/22/2019 7:32:07 AM</v>
      </c>
      <c r="J358" t="str">
        <f>"1"</f>
        <v>1</v>
      </c>
      <c r="K358" t="str">
        <f>"2"</f>
        <v>2</v>
      </c>
      <c r="L358" t="str">
        <f>"NPOC"</f>
        <v>NPOC</v>
      </c>
      <c r="M358" t="str">
        <f>"116.3"</f>
        <v>116.3</v>
      </c>
      <c r="N358" t="str">
        <f>"23.45"</f>
        <v>23.45</v>
      </c>
      <c r="O358" t="str">
        <f>"NPOC:24.58mg/L TN:3.713mg/L"</f>
        <v>NPOC:24.58mg/L TN:3.713mg/L</v>
      </c>
      <c r="P358">
        <v>1</v>
      </c>
      <c r="Q358" t="str">
        <f>"80"</f>
        <v>80</v>
      </c>
    </row>
    <row r="359" spans="1:17" x14ac:dyDescent="0.2">
      <c r="A359" t="str">
        <f>"Unknown"</f>
        <v>Unknown</v>
      </c>
      <c r="B359" t="str">
        <f>"NPOC/TN"</f>
        <v>NPOC/TN</v>
      </c>
      <c r="C359" t="str">
        <f>"1168"</f>
        <v>1168</v>
      </c>
      <c r="D359" t="str">
        <f>"DI"</f>
        <v>DI</v>
      </c>
      <c r="E359" t="str">
        <f>"C:\TOC3201\Methods\Itamar\acid_sample.met"</f>
        <v>C:\TOC3201\Methods\Itamar\acid_sample.met</v>
      </c>
      <c r="F359" t="str">
        <f>"C:\TOC3201\CalCurves\Itamar\C_cal_100ppm_acid_laurel.2019_08_21_13_17_46.cal"</f>
        <v>C:\TOC3201\CalCurves\Itamar\C_cal_100ppm_acid_laurel.2019_08_21_13_17_46.cal</v>
      </c>
      <c r="G359">
        <v>1</v>
      </c>
      <c r="H359" t="str">
        <f>""</f>
        <v/>
      </c>
      <c r="I359" t="str">
        <f>"8/22/2019 7:36:13 AM"</f>
        <v>8/22/2019 7:36:13 AM</v>
      </c>
      <c r="J359" t="str">
        <f>"1"</f>
        <v>1</v>
      </c>
      <c r="K359" t="str">
        <f>"3"</f>
        <v>3</v>
      </c>
      <c r="L359" t="str">
        <f>"NPOC"</f>
        <v>NPOC</v>
      </c>
      <c r="M359" t="str">
        <f>"123.0"</f>
        <v>123.0</v>
      </c>
      <c r="N359" t="str">
        <f>"24.82"</f>
        <v>24.82</v>
      </c>
      <c r="O359" t="str">
        <f>"NPOC:24.58mg/L TN:3.713mg/L"</f>
        <v>NPOC:24.58mg/L TN:3.713mg/L</v>
      </c>
      <c r="P359">
        <v>0</v>
      </c>
      <c r="Q359" t="str">
        <f>"80"</f>
        <v>80</v>
      </c>
    </row>
    <row r="360" spans="1:17" x14ac:dyDescent="0.2">
      <c r="A360" t="str">
        <f>"Unknown"</f>
        <v>Unknown</v>
      </c>
      <c r="B360" t="str">
        <f>"NPOC/TN"</f>
        <v>NPOC/TN</v>
      </c>
      <c r="C360" t="str">
        <f>"1168"</f>
        <v>1168</v>
      </c>
      <c r="D360" t="str">
        <f>"DI"</f>
        <v>DI</v>
      </c>
      <c r="E360" t="str">
        <f>"C:\TOC3201\Methods\Itamar\acid_sample.met"</f>
        <v>C:\TOC3201\Methods\Itamar\acid_sample.met</v>
      </c>
      <c r="F360" t="str">
        <f>"C:\TOC3201\CalCurves\Itamar\C_cal_100ppm_acid_laurel.2019_08_21_13_17_46.cal"</f>
        <v>C:\TOC3201\CalCurves\Itamar\C_cal_100ppm_acid_laurel.2019_08_21_13_17_46.cal</v>
      </c>
      <c r="G360">
        <v>1</v>
      </c>
      <c r="H360" t="str">
        <f>""</f>
        <v/>
      </c>
      <c r="I360" t="str">
        <f>"8/22/2019 7:40:11 AM"</f>
        <v>8/22/2019 7:40:11 AM</v>
      </c>
      <c r="J360" t="str">
        <f>"1"</f>
        <v>1</v>
      </c>
      <c r="K360" t="str">
        <f>"4"</f>
        <v>4</v>
      </c>
      <c r="L360" t="str">
        <f>"NPOC"</f>
        <v>NPOC</v>
      </c>
      <c r="M360" t="str">
        <f>"121.6"</f>
        <v>121.6</v>
      </c>
      <c r="N360" t="str">
        <f>"24.54"</f>
        <v>24.54</v>
      </c>
      <c r="O360" t="str">
        <f>"NPOC:24.58mg/L TN:3.713mg/L"</f>
        <v>NPOC:24.58mg/L TN:3.713mg/L</v>
      </c>
      <c r="P360">
        <v>0</v>
      </c>
      <c r="Q360" t="str">
        <f>"80"</f>
        <v>80</v>
      </c>
    </row>
    <row r="361" spans="1:17" x14ac:dyDescent="0.2">
      <c r="A361" t="str">
        <f>"Unknown"</f>
        <v>Unknown</v>
      </c>
      <c r="B361" t="str">
        <f>"NPOC/TN"</f>
        <v>NPOC/TN</v>
      </c>
      <c r="C361" t="str">
        <f>"1168"</f>
        <v>1168</v>
      </c>
      <c r="D361" t="str">
        <f>"DI"</f>
        <v>DI</v>
      </c>
      <c r="E361" t="str">
        <f>"C:\TOC3201\Methods\Itamar\acid_sample.met"</f>
        <v>C:\TOC3201\Methods\Itamar\acid_sample.met</v>
      </c>
      <c r="F361" t="str">
        <f>"C:\TOC3201\CalCurves\Itamar\N_cal_25ppm_acid_laurel.2019_08_21_15_23_49.cal"</f>
        <v>C:\TOC3201\CalCurves\Itamar\N_cal_25ppm_acid_laurel.2019_08_21_15_23_49.cal</v>
      </c>
      <c r="G361">
        <v>1</v>
      </c>
      <c r="H361" t="str">
        <f>""</f>
        <v/>
      </c>
      <c r="I361" t="str">
        <f>"8/22/2019 7:28:04 AM"</f>
        <v>8/22/2019 7:28:04 AM</v>
      </c>
      <c r="J361" t="str">
        <f>"1"</f>
        <v>1</v>
      </c>
      <c r="K361" t="str">
        <f>"1"</f>
        <v>1</v>
      </c>
      <c r="L361" t="str">
        <f>"TN"</f>
        <v>TN</v>
      </c>
      <c r="M361" t="str">
        <f>"13.75"</f>
        <v>13.75</v>
      </c>
      <c r="N361" t="str">
        <f>"3.926"</f>
        <v>3.926</v>
      </c>
      <c r="O361" t="str">
        <f>"NPOC:24.58mg/L TN:3.713mg/L"</f>
        <v>NPOC:24.58mg/L TN:3.713mg/L</v>
      </c>
      <c r="P361">
        <v>1</v>
      </c>
      <c r="Q361" t="str">
        <f>"80"</f>
        <v>80</v>
      </c>
    </row>
    <row r="362" spans="1:17" x14ac:dyDescent="0.2">
      <c r="A362" t="str">
        <f>"Unknown"</f>
        <v>Unknown</v>
      </c>
      <c r="B362" t="str">
        <f>"NPOC/TN"</f>
        <v>NPOC/TN</v>
      </c>
      <c r="C362" t="str">
        <f>"1168"</f>
        <v>1168</v>
      </c>
      <c r="D362" t="str">
        <f>"DI"</f>
        <v>DI</v>
      </c>
      <c r="E362" t="str">
        <f>"C:\TOC3201\Methods\Itamar\acid_sample.met"</f>
        <v>C:\TOC3201\Methods\Itamar\acid_sample.met</v>
      </c>
      <c r="F362" t="str">
        <f>"C:\TOC3201\CalCurves\Itamar\N_cal_25ppm_acid_laurel.2019_08_21_15_23_49.cal"</f>
        <v>C:\TOC3201\CalCurves\Itamar\N_cal_25ppm_acid_laurel.2019_08_21_15_23_49.cal</v>
      </c>
      <c r="G362">
        <v>1</v>
      </c>
      <c r="H362" t="str">
        <f>""</f>
        <v/>
      </c>
      <c r="I362" t="str">
        <f>"8/22/2019 7:32:07 AM"</f>
        <v>8/22/2019 7:32:07 AM</v>
      </c>
      <c r="J362" t="str">
        <f>"1"</f>
        <v>1</v>
      </c>
      <c r="K362" t="str">
        <f>"2"</f>
        <v>2</v>
      </c>
      <c r="L362" t="str">
        <f>"TN"</f>
        <v>TN</v>
      </c>
      <c r="M362" t="str">
        <f>"13.29"</f>
        <v>13.29</v>
      </c>
      <c r="N362" t="str">
        <f>"3.799"</f>
        <v>3.799</v>
      </c>
      <c r="O362" t="str">
        <f>"NPOC:24.58mg/L TN:3.713mg/L"</f>
        <v>NPOC:24.58mg/L TN:3.713mg/L</v>
      </c>
      <c r="P362">
        <v>0</v>
      </c>
      <c r="Q362" t="str">
        <f>"80"</f>
        <v>80</v>
      </c>
    </row>
    <row r="363" spans="1:17" x14ac:dyDescent="0.2">
      <c r="A363" t="str">
        <f>"Unknown"</f>
        <v>Unknown</v>
      </c>
      <c r="B363" t="str">
        <f>"NPOC/TN"</f>
        <v>NPOC/TN</v>
      </c>
      <c r="C363" t="str">
        <f>"1168"</f>
        <v>1168</v>
      </c>
      <c r="D363" t="str">
        <f>"DI"</f>
        <v>DI</v>
      </c>
      <c r="E363" t="str">
        <f>"C:\TOC3201\Methods\Itamar\acid_sample.met"</f>
        <v>C:\TOC3201\Methods\Itamar\acid_sample.met</v>
      </c>
      <c r="F363" t="str">
        <f>"C:\TOC3201\CalCurves\Itamar\N_cal_25ppm_acid_laurel.2019_08_21_15_23_49.cal"</f>
        <v>C:\TOC3201\CalCurves\Itamar\N_cal_25ppm_acid_laurel.2019_08_21_15_23_49.cal</v>
      </c>
      <c r="G363">
        <v>1</v>
      </c>
      <c r="H363" t="str">
        <f>""</f>
        <v/>
      </c>
      <c r="I363" t="str">
        <f>"8/22/2019 7:36:13 AM"</f>
        <v>8/22/2019 7:36:13 AM</v>
      </c>
      <c r="J363" t="str">
        <f>"1"</f>
        <v>1</v>
      </c>
      <c r="K363" t="str">
        <f>"3"</f>
        <v>3</v>
      </c>
      <c r="L363" t="str">
        <f>"TN"</f>
        <v>TN</v>
      </c>
      <c r="M363" t="str">
        <f>"12.89"</f>
        <v>12.89</v>
      </c>
      <c r="N363" t="str">
        <f>"3.690"</f>
        <v>3.690</v>
      </c>
      <c r="O363" t="str">
        <f>"NPOC:24.58mg/L TN:3.713mg/L"</f>
        <v>NPOC:24.58mg/L TN:3.713mg/L</v>
      </c>
      <c r="P363">
        <v>0</v>
      </c>
      <c r="Q363" t="str">
        <f>"80"</f>
        <v>80</v>
      </c>
    </row>
    <row r="364" spans="1:17" x14ac:dyDescent="0.2">
      <c r="A364" t="str">
        <f>"Unknown"</f>
        <v>Unknown</v>
      </c>
      <c r="B364" t="str">
        <f>"NPOC/TN"</f>
        <v>NPOC/TN</v>
      </c>
      <c r="C364" t="str">
        <f>"1168"</f>
        <v>1168</v>
      </c>
      <c r="D364" t="str">
        <f>"DI"</f>
        <v>DI</v>
      </c>
      <c r="E364" t="str">
        <f>"C:\TOC3201\Methods\Itamar\acid_sample.met"</f>
        <v>C:\TOC3201\Methods\Itamar\acid_sample.met</v>
      </c>
      <c r="F364" t="str">
        <f>"C:\TOC3201\CalCurves\Itamar\N_cal_25ppm_acid_laurel.2019_08_21_15_23_49.cal"</f>
        <v>C:\TOC3201\CalCurves\Itamar\N_cal_25ppm_acid_laurel.2019_08_21_15_23_49.cal</v>
      </c>
      <c r="G364">
        <v>1</v>
      </c>
      <c r="H364" t="str">
        <f>""</f>
        <v/>
      </c>
      <c r="I364" t="str">
        <f>"8/22/2019 7:40:11 AM"</f>
        <v>8/22/2019 7:40:11 AM</v>
      </c>
      <c r="J364" t="str">
        <f>"1"</f>
        <v>1</v>
      </c>
      <c r="K364" t="str">
        <f>"4"</f>
        <v>4</v>
      </c>
      <c r="L364" t="str">
        <f>"TN"</f>
        <v>TN</v>
      </c>
      <c r="M364" t="str">
        <f>"13.95"</f>
        <v>13.95</v>
      </c>
      <c r="N364" t="str">
        <f>"3.980"</f>
        <v>3.980</v>
      </c>
      <c r="O364" t="str">
        <f>"NPOC:24.58mg/L TN:3.713mg/L"</f>
        <v>NPOC:24.58mg/L TN:3.713mg/L</v>
      </c>
      <c r="P364">
        <v>1</v>
      </c>
      <c r="Q364" t="str">
        <f>"80"</f>
        <v>80</v>
      </c>
    </row>
    <row r="365" spans="1:17" x14ac:dyDescent="0.2">
      <c r="A365" t="str">
        <f>"Unknown"</f>
        <v>Unknown</v>
      </c>
      <c r="B365" t="str">
        <f>"NPOC/TN"</f>
        <v>NPOC/TN</v>
      </c>
      <c r="C365" t="str">
        <f>"1168"</f>
        <v>1168</v>
      </c>
      <c r="D365" t="str">
        <f>"DI"</f>
        <v>DI</v>
      </c>
      <c r="E365" t="str">
        <f>"C:\TOC3201\Methods\Itamar\acid_sample.met"</f>
        <v>C:\TOC3201\Methods\Itamar\acid_sample.met</v>
      </c>
      <c r="F365" t="str">
        <f>"C:\TOC3201\CalCurves\Itamar\N_cal_25ppm_acid_laurel.2019_08_21_15_23_49.cal"</f>
        <v>C:\TOC3201\CalCurves\Itamar\N_cal_25ppm_acid_laurel.2019_08_21_15_23_49.cal</v>
      </c>
      <c r="G365">
        <v>1</v>
      </c>
      <c r="H365" t="str">
        <f>""</f>
        <v/>
      </c>
      <c r="I365" t="str">
        <f>"8/22/2019 7:43:34 AM"</f>
        <v>8/22/2019 7:43:34 AM</v>
      </c>
      <c r="J365" t="str">
        <f>"1"</f>
        <v>1</v>
      </c>
      <c r="K365" t="str">
        <f>"5"</f>
        <v>5</v>
      </c>
      <c r="L365" t="str">
        <f>"TN"</f>
        <v>TN</v>
      </c>
      <c r="M365" t="str">
        <f>"12.75"</f>
        <v>12.75</v>
      </c>
      <c r="N365" t="str">
        <f>"3.651"</f>
        <v>3.651</v>
      </c>
      <c r="O365" t="str">
        <f>"NPOC:24.58mg/L TN:3.713mg/L"</f>
        <v>NPOC:24.58mg/L TN:3.713mg/L</v>
      </c>
      <c r="P365">
        <v>0</v>
      </c>
      <c r="Q365" t="str">
        <f>"80"</f>
        <v>80</v>
      </c>
    </row>
    <row r="366" spans="1:17" x14ac:dyDescent="0.2">
      <c r="A366" t="str">
        <f>"Unknown"</f>
        <v>Unknown</v>
      </c>
      <c r="B366" t="str">
        <f>"NPOC/TN"</f>
        <v>NPOC/TN</v>
      </c>
      <c r="C366" t="str">
        <f>"DI"</f>
        <v>DI</v>
      </c>
      <c r="D366" t="str">
        <f>"DI"</f>
        <v>DI</v>
      </c>
      <c r="E366" t="str">
        <f>"C:\TOC3201\Methods\Itamar\acid_sample.met"</f>
        <v>C:\TOC3201\Methods\Itamar\acid_sample.met</v>
      </c>
      <c r="F366" t="str">
        <f>"C:\TOC3201\CalCurves\Itamar\C_cal_100ppm_acid_laurel.2019_08_21_13_17_46.cal"</f>
        <v>C:\TOC3201\CalCurves\Itamar\C_cal_100ppm_acid_laurel.2019_08_21_13_17_46.cal</v>
      </c>
      <c r="G366">
        <v>1</v>
      </c>
      <c r="H366" t="str">
        <f>""</f>
        <v/>
      </c>
      <c r="I366" t="str">
        <f>"8/22/2019 7:52:14 AM"</f>
        <v>8/22/2019 7:52:14 AM</v>
      </c>
      <c r="J366" t="str">
        <f>"1"</f>
        <v>1</v>
      </c>
      <c r="K366" t="str">
        <f>"1"</f>
        <v>1</v>
      </c>
      <c r="L366" t="str">
        <f>"NPOC"</f>
        <v>NPOC</v>
      </c>
      <c r="M366" t="str">
        <f>"0.000"</f>
        <v>0.000</v>
      </c>
      <c r="N366" t="str">
        <f>"-0.3249"</f>
        <v>-0.3249</v>
      </c>
      <c r="O366" t="str">
        <f>"NPOC:-0.3249mg/L TN:0.1544mg/L"</f>
        <v>NPOC:-0.3249mg/L TN:0.1544mg/L</v>
      </c>
      <c r="P366">
        <v>0</v>
      </c>
      <c r="Q366" t="str">
        <f>"80"</f>
        <v>80</v>
      </c>
    </row>
    <row r="367" spans="1:17" x14ac:dyDescent="0.2">
      <c r="A367" t="str">
        <f>"Unknown"</f>
        <v>Unknown</v>
      </c>
      <c r="B367" t="str">
        <f>"NPOC/TN"</f>
        <v>NPOC/TN</v>
      </c>
      <c r="C367" t="str">
        <f>"DI"</f>
        <v>DI</v>
      </c>
      <c r="D367" t="str">
        <f>"DI"</f>
        <v>DI</v>
      </c>
      <c r="E367" t="str">
        <f>"C:\TOC3201\Methods\Itamar\acid_sample.met"</f>
        <v>C:\TOC3201\Methods\Itamar\acid_sample.met</v>
      </c>
      <c r="F367" t="str">
        <f>"C:\TOC3201\CalCurves\Itamar\C_cal_100ppm_acid_laurel.2019_08_21_13_17_46.cal"</f>
        <v>C:\TOC3201\CalCurves\Itamar\C_cal_100ppm_acid_laurel.2019_08_21_13_17_46.cal</v>
      </c>
      <c r="G367">
        <v>1</v>
      </c>
      <c r="H367" t="str">
        <f>""</f>
        <v/>
      </c>
      <c r="I367" t="str">
        <f>"8/22/2019 7:54:18 AM"</f>
        <v>8/22/2019 7:54:18 AM</v>
      </c>
      <c r="J367" t="str">
        <f>"1"</f>
        <v>1</v>
      </c>
      <c r="K367" t="str">
        <f>"2"</f>
        <v>2</v>
      </c>
      <c r="L367" t="str">
        <f>"NPOC"</f>
        <v>NPOC</v>
      </c>
      <c r="M367" t="str">
        <f>"0.000"</f>
        <v>0.000</v>
      </c>
      <c r="N367" t="str">
        <f>"-0.3249"</f>
        <v>-0.3249</v>
      </c>
      <c r="O367" t="str">
        <f>"NPOC:-0.3249mg/L TN:0.1544mg/L"</f>
        <v>NPOC:-0.3249mg/L TN:0.1544mg/L</v>
      </c>
      <c r="P367">
        <v>0</v>
      </c>
      <c r="Q367" t="str">
        <f>"80"</f>
        <v>80</v>
      </c>
    </row>
    <row r="368" spans="1:17" x14ac:dyDescent="0.2">
      <c r="A368" t="str">
        <f>"Unknown"</f>
        <v>Unknown</v>
      </c>
      <c r="B368" t="str">
        <f>"NPOC/TN"</f>
        <v>NPOC/TN</v>
      </c>
      <c r="C368" t="str">
        <f>"DI"</f>
        <v>DI</v>
      </c>
      <c r="D368" t="str">
        <f>"DI"</f>
        <v>DI</v>
      </c>
      <c r="E368" t="str">
        <f>"C:\TOC3201\Methods\Itamar\acid_sample.met"</f>
        <v>C:\TOC3201\Methods\Itamar\acid_sample.met</v>
      </c>
      <c r="F368" t="str">
        <f>"C:\TOC3201\CalCurves\Itamar\C_cal_100ppm_acid_laurel.2019_08_21_13_17_46.cal"</f>
        <v>C:\TOC3201\CalCurves\Itamar\C_cal_100ppm_acid_laurel.2019_08_21_13_17_46.cal</v>
      </c>
      <c r="G368">
        <v>1</v>
      </c>
      <c r="H368" t="str">
        <f>""</f>
        <v/>
      </c>
      <c r="I368" t="str">
        <f>"8/22/2019 7:56:34 AM"</f>
        <v>8/22/2019 7:56:34 AM</v>
      </c>
      <c r="J368" t="str">
        <f>"1"</f>
        <v>1</v>
      </c>
      <c r="K368" t="str">
        <f>"3"</f>
        <v>3</v>
      </c>
      <c r="L368" t="str">
        <f>"NPOC"</f>
        <v>NPOC</v>
      </c>
      <c r="M368" t="str">
        <f>"0.4560"</f>
        <v>0.4560</v>
      </c>
      <c r="N368" t="str">
        <f>"-0.2317"</f>
        <v>-0.2317</v>
      </c>
      <c r="O368" t="str">
        <f>"NPOC:-0.3249mg/L TN:0.1544mg/L"</f>
        <v>NPOC:-0.3249mg/L TN:0.1544mg/L</v>
      </c>
      <c r="P368">
        <v>1</v>
      </c>
      <c r="Q368" t="str">
        <f>"80"</f>
        <v>80</v>
      </c>
    </row>
    <row r="369" spans="1:17" x14ac:dyDescent="0.2">
      <c r="A369" t="str">
        <f>"Unknown"</f>
        <v>Unknown</v>
      </c>
      <c r="B369" t="str">
        <f>"NPOC/TN"</f>
        <v>NPOC/TN</v>
      </c>
      <c r="C369" t="str">
        <f>"DI"</f>
        <v>DI</v>
      </c>
      <c r="D369" t="str">
        <f>"DI"</f>
        <v>DI</v>
      </c>
      <c r="E369" t="str">
        <f>"C:\TOC3201\Methods\Itamar\acid_sample.met"</f>
        <v>C:\TOC3201\Methods\Itamar\acid_sample.met</v>
      </c>
      <c r="F369" t="str">
        <f>"C:\TOC3201\CalCurves\Itamar\C_cal_100ppm_acid_laurel.2019_08_21_13_17_46.cal"</f>
        <v>C:\TOC3201\CalCurves\Itamar\C_cal_100ppm_acid_laurel.2019_08_21_13_17_46.cal</v>
      </c>
      <c r="G369">
        <v>1</v>
      </c>
      <c r="H369" t="str">
        <f>""</f>
        <v/>
      </c>
      <c r="I369" t="str">
        <f>"8/22/2019 7:58:53 AM"</f>
        <v>8/22/2019 7:58:53 AM</v>
      </c>
      <c r="J369" t="str">
        <f>"1"</f>
        <v>1</v>
      </c>
      <c r="K369" t="str">
        <f>"4"</f>
        <v>4</v>
      </c>
      <c r="L369" t="str">
        <f>"NPOC"</f>
        <v>NPOC</v>
      </c>
      <c r="M369" t="str">
        <f>"0.3365"</f>
        <v>0.3365</v>
      </c>
      <c r="N369" t="str">
        <f>"-0.2561"</f>
        <v>-0.2561</v>
      </c>
      <c r="O369" t="str">
        <f>"NPOC:-0.3249mg/L TN:0.1544mg/L"</f>
        <v>NPOC:-0.3249mg/L TN:0.1544mg/L</v>
      </c>
      <c r="P369">
        <v>1</v>
      </c>
      <c r="Q369" t="str">
        <f>"80"</f>
        <v>80</v>
      </c>
    </row>
    <row r="370" spans="1:17" x14ac:dyDescent="0.2">
      <c r="A370" t="str">
        <f>"Unknown"</f>
        <v>Unknown</v>
      </c>
      <c r="B370" t="str">
        <f>"NPOC/TN"</f>
        <v>NPOC/TN</v>
      </c>
      <c r="C370" t="str">
        <f>"DI"</f>
        <v>DI</v>
      </c>
      <c r="D370" t="str">
        <f>"DI"</f>
        <v>DI</v>
      </c>
      <c r="E370" t="str">
        <f>"C:\TOC3201\Methods\Itamar\acid_sample.met"</f>
        <v>C:\TOC3201\Methods\Itamar\acid_sample.met</v>
      </c>
      <c r="F370" t="str">
        <f>"C:\TOC3201\CalCurves\Itamar\C_cal_100ppm_acid_laurel.2019_08_21_13_17_46.cal"</f>
        <v>C:\TOC3201\CalCurves\Itamar\C_cal_100ppm_acid_laurel.2019_08_21_13_17_46.cal</v>
      </c>
      <c r="G370">
        <v>1</v>
      </c>
      <c r="H370" t="str">
        <f>""</f>
        <v/>
      </c>
      <c r="I370" t="str">
        <f>"8/22/2019 8:00:56 AM"</f>
        <v>8/22/2019 8:00:56 AM</v>
      </c>
      <c r="J370" t="str">
        <f>"1"</f>
        <v>1</v>
      </c>
      <c r="K370" t="str">
        <f>"5"</f>
        <v>5</v>
      </c>
      <c r="L370" t="str">
        <f>"NPOC"</f>
        <v>NPOC</v>
      </c>
      <c r="M370" t="str">
        <f>"0.000"</f>
        <v>0.000</v>
      </c>
      <c r="N370" t="str">
        <f>"-0.3249"</f>
        <v>-0.3249</v>
      </c>
      <c r="O370" t="str">
        <f>"NPOC:-0.3249mg/L TN:0.1544mg/L"</f>
        <v>NPOC:-0.3249mg/L TN:0.1544mg/L</v>
      </c>
      <c r="P370">
        <v>0</v>
      </c>
      <c r="Q370" t="str">
        <f>"80"</f>
        <v>80</v>
      </c>
    </row>
    <row r="371" spans="1:17" x14ac:dyDescent="0.2">
      <c r="A371" t="str">
        <f>"Unknown"</f>
        <v>Unknown</v>
      </c>
      <c r="B371" t="str">
        <f>"NPOC/TN"</f>
        <v>NPOC/TN</v>
      </c>
      <c r="C371" t="str">
        <f>"DI"</f>
        <v>DI</v>
      </c>
      <c r="D371" t="str">
        <f>"DI"</f>
        <v>DI</v>
      </c>
      <c r="E371" t="str">
        <f>"C:\TOC3201\Methods\Itamar\acid_sample.met"</f>
        <v>C:\TOC3201\Methods\Itamar\acid_sample.met</v>
      </c>
      <c r="F371" t="str">
        <f>"C:\TOC3201\CalCurves\Itamar\N_cal_25ppm_acid_laurel.2019_08_21_15_23_49.cal"</f>
        <v>C:\TOC3201\CalCurves\Itamar\N_cal_25ppm_acid_laurel.2019_08_21_15_23_49.cal</v>
      </c>
      <c r="G371">
        <v>1</v>
      </c>
      <c r="H371" t="str">
        <f>""</f>
        <v/>
      </c>
      <c r="I371" t="str">
        <f>"8/22/2019 7:52:14 AM"</f>
        <v>8/22/2019 7:52:14 AM</v>
      </c>
      <c r="J371" t="str">
        <f>"1"</f>
        <v>1</v>
      </c>
      <c r="K371" t="str">
        <f>"1"</f>
        <v>1</v>
      </c>
      <c r="L371" t="str">
        <f>"TN"</f>
        <v>TN</v>
      </c>
      <c r="M371" t="str">
        <f>"0.000"</f>
        <v>0.000</v>
      </c>
      <c r="N371" t="str">
        <f>"0.1544"</f>
        <v>0.1544</v>
      </c>
      <c r="O371" t="str">
        <f>"NPOC:-0.3249mg/L TN:0.1544mg/L"</f>
        <v>NPOC:-0.3249mg/L TN:0.1544mg/L</v>
      </c>
      <c r="P371">
        <v>0</v>
      </c>
      <c r="Q371" t="str">
        <f>"80"</f>
        <v>80</v>
      </c>
    </row>
    <row r="372" spans="1:17" x14ac:dyDescent="0.2">
      <c r="A372" t="str">
        <f>"Unknown"</f>
        <v>Unknown</v>
      </c>
      <c r="B372" t="str">
        <f>"NPOC/TN"</f>
        <v>NPOC/TN</v>
      </c>
      <c r="C372" t="str">
        <f>"DI"</f>
        <v>DI</v>
      </c>
      <c r="D372" t="str">
        <f>"DI"</f>
        <v>DI</v>
      </c>
      <c r="E372" t="str">
        <f>"C:\TOC3201\Methods\Itamar\acid_sample.met"</f>
        <v>C:\TOC3201\Methods\Itamar\acid_sample.met</v>
      </c>
      <c r="F372" t="str">
        <f>"C:\TOC3201\CalCurves\Itamar\N_cal_25ppm_acid_laurel.2019_08_21_15_23_49.cal"</f>
        <v>C:\TOC3201\CalCurves\Itamar\N_cal_25ppm_acid_laurel.2019_08_21_15_23_49.cal</v>
      </c>
      <c r="G372">
        <v>1</v>
      </c>
      <c r="H372" t="str">
        <f>""</f>
        <v/>
      </c>
      <c r="I372" t="str">
        <f>"8/22/2019 7:54:18 AM"</f>
        <v>8/22/2019 7:54:18 AM</v>
      </c>
      <c r="J372" t="str">
        <f>"1"</f>
        <v>1</v>
      </c>
      <c r="K372" t="str">
        <f>"2"</f>
        <v>2</v>
      </c>
      <c r="L372" t="str">
        <f>"TN"</f>
        <v>TN</v>
      </c>
      <c r="M372" t="str">
        <f>"0.000"</f>
        <v>0.000</v>
      </c>
      <c r="N372" t="str">
        <f>"0.1544"</f>
        <v>0.1544</v>
      </c>
      <c r="O372" t="str">
        <f>"NPOC:-0.3249mg/L TN:0.1544mg/L"</f>
        <v>NPOC:-0.3249mg/L TN:0.1544mg/L</v>
      </c>
      <c r="P372">
        <v>0</v>
      </c>
      <c r="Q372" t="str">
        <f>"80"</f>
        <v>80</v>
      </c>
    </row>
    <row r="373" spans="1:17" x14ac:dyDescent="0.2">
      <c r="A373" t="str">
        <f>"Unknown"</f>
        <v>Unknown</v>
      </c>
      <c r="B373" t="str">
        <f>"NPOC/TN"</f>
        <v>NPOC/TN</v>
      </c>
      <c r="C373" t="str">
        <f>"DI"</f>
        <v>DI</v>
      </c>
      <c r="D373" t="str">
        <f>"DI"</f>
        <v>DI</v>
      </c>
      <c r="E373" t="str">
        <f>"C:\TOC3201\Methods\Itamar\acid_sample.met"</f>
        <v>C:\TOC3201\Methods\Itamar\acid_sample.met</v>
      </c>
      <c r="F373" t="str">
        <f>"C:\TOC3201\CalCurves\Itamar\N_cal_25ppm_acid_laurel.2019_08_21_15_23_49.cal"</f>
        <v>C:\TOC3201\CalCurves\Itamar\N_cal_25ppm_acid_laurel.2019_08_21_15_23_49.cal</v>
      </c>
      <c r="G373">
        <v>1</v>
      </c>
      <c r="H373" t="str">
        <f>""</f>
        <v/>
      </c>
      <c r="I373" t="str">
        <f>"8/22/2019 7:56:34 AM"</f>
        <v>8/22/2019 7:56:34 AM</v>
      </c>
      <c r="J373" t="str">
        <f>"1"</f>
        <v>1</v>
      </c>
      <c r="K373" t="str">
        <f>"3"</f>
        <v>3</v>
      </c>
      <c r="L373" t="str">
        <f>"TN"</f>
        <v>TN</v>
      </c>
      <c r="M373" t="str">
        <f>"0.000"</f>
        <v>0.000</v>
      </c>
      <c r="N373" t="str">
        <f>"0.1544"</f>
        <v>0.1544</v>
      </c>
      <c r="O373" t="str">
        <f>"NPOC:-0.3249mg/L TN:0.1544mg/L"</f>
        <v>NPOC:-0.3249mg/L TN:0.1544mg/L</v>
      </c>
      <c r="P373">
        <v>0</v>
      </c>
      <c r="Q373" t="str">
        <f>"80"</f>
        <v>80</v>
      </c>
    </row>
    <row r="374" spans="1:17" x14ac:dyDescent="0.2">
      <c r="A374" t="str">
        <f>"Unknown"</f>
        <v>Unknown</v>
      </c>
      <c r="B374" t="str">
        <f>"NPOC/TN"</f>
        <v>NPOC/TN</v>
      </c>
      <c r="C374" t="str">
        <f>"25ppm"</f>
        <v>25ppm</v>
      </c>
      <c r="D374" t="str">
        <f>"25ppm"</f>
        <v>25ppm</v>
      </c>
      <c r="E374" t="str">
        <f>"C:\TOC3201\Methods\Itamar\acid_sample.met"</f>
        <v>C:\TOC3201\Methods\Itamar\acid_sample.met</v>
      </c>
      <c r="F374" t="str">
        <f>"C:\TOC3201\CalCurves\Itamar\C_cal_100ppm_acid_laurel.2019_08_21_13_17_46.cal"</f>
        <v>C:\TOC3201\CalCurves\Itamar\C_cal_100ppm_acid_laurel.2019_08_21_13_17_46.cal</v>
      </c>
      <c r="G374">
        <v>1</v>
      </c>
      <c r="H374" t="str">
        <f>""</f>
        <v/>
      </c>
      <c r="I374" t="str">
        <f>"8/22/2019 8:11:55 AM"</f>
        <v>8/22/2019 8:11:55 AM</v>
      </c>
      <c r="J374" t="str">
        <f>"1"</f>
        <v>1</v>
      </c>
      <c r="K374" t="str">
        <f>"1"</f>
        <v>1</v>
      </c>
      <c r="L374" t="str">
        <f>"NPOC"</f>
        <v>NPOC</v>
      </c>
      <c r="M374" t="str">
        <f>"28.87"</f>
        <v>28.87</v>
      </c>
      <c r="N374" t="str">
        <f>"22.31"</f>
        <v>22.31</v>
      </c>
      <c r="O374" t="str">
        <f>"NPOC:22.25mg/L TN:26.61mg/L"</f>
        <v>NPOC:22.25mg/L TN:26.61mg/L</v>
      </c>
      <c r="P374">
        <v>0</v>
      </c>
      <c r="Q374" t="str">
        <f>"80"</f>
        <v>80</v>
      </c>
    </row>
    <row r="375" spans="1:17" x14ac:dyDescent="0.2">
      <c r="A375" t="str">
        <f>"Unknown"</f>
        <v>Unknown</v>
      </c>
      <c r="B375" t="str">
        <f>"NPOC/TN"</f>
        <v>NPOC/TN</v>
      </c>
      <c r="C375" t="str">
        <f>"25ppm"</f>
        <v>25ppm</v>
      </c>
      <c r="D375" t="str">
        <f>"25ppm"</f>
        <v>25ppm</v>
      </c>
      <c r="E375" t="str">
        <f>"C:\TOC3201\Methods\Itamar\acid_sample.met"</f>
        <v>C:\TOC3201\Methods\Itamar\acid_sample.met</v>
      </c>
      <c r="F375" t="str">
        <f>"C:\TOC3201\CalCurves\Itamar\C_cal_100ppm_acid_laurel.2019_08_21_13_17_46.cal"</f>
        <v>C:\TOC3201\CalCurves\Itamar\C_cal_100ppm_acid_laurel.2019_08_21_13_17_46.cal</v>
      </c>
      <c r="G375">
        <v>1</v>
      </c>
      <c r="H375" t="str">
        <f>""</f>
        <v/>
      </c>
      <c r="I375" t="str">
        <f>"8/22/2019 8:15:36 AM"</f>
        <v>8/22/2019 8:15:36 AM</v>
      </c>
      <c r="J375" t="str">
        <f>"1"</f>
        <v>1</v>
      </c>
      <c r="K375" t="str">
        <f>"2"</f>
        <v>2</v>
      </c>
      <c r="L375" t="str">
        <f>"NPOC"</f>
        <v>NPOC</v>
      </c>
      <c r="M375" t="str">
        <f>"28.93"</f>
        <v>28.93</v>
      </c>
      <c r="N375" t="str">
        <f>"22.36"</f>
        <v>22.36</v>
      </c>
      <c r="O375" t="str">
        <f>"NPOC:22.25mg/L TN:26.61mg/L"</f>
        <v>NPOC:22.25mg/L TN:26.61mg/L</v>
      </c>
      <c r="P375">
        <v>0</v>
      </c>
      <c r="Q375" t="str">
        <f>"80"</f>
        <v>80</v>
      </c>
    </row>
    <row r="376" spans="1:17" x14ac:dyDescent="0.2">
      <c r="A376" t="str">
        <f>"Unknown"</f>
        <v>Unknown</v>
      </c>
      <c r="B376" t="str">
        <f>"NPOC/TN"</f>
        <v>NPOC/TN</v>
      </c>
      <c r="C376" t="str">
        <f>"25ppm"</f>
        <v>25ppm</v>
      </c>
      <c r="D376" t="str">
        <f>"25ppm"</f>
        <v>25ppm</v>
      </c>
      <c r="E376" t="str">
        <f>"C:\TOC3201\Methods\Itamar\acid_sample.met"</f>
        <v>C:\TOC3201\Methods\Itamar\acid_sample.met</v>
      </c>
      <c r="F376" t="str">
        <f>"C:\TOC3201\CalCurves\Itamar\C_cal_100ppm_acid_laurel.2019_08_21_13_17_46.cal"</f>
        <v>C:\TOC3201\CalCurves\Itamar\C_cal_100ppm_acid_laurel.2019_08_21_13_17_46.cal</v>
      </c>
      <c r="G376">
        <v>1</v>
      </c>
      <c r="H376" t="str">
        <f>""</f>
        <v/>
      </c>
      <c r="I376" t="str">
        <f>"8/22/2019 8:19:31 AM"</f>
        <v>8/22/2019 8:19:31 AM</v>
      </c>
      <c r="J376" t="str">
        <f>"1"</f>
        <v>1</v>
      </c>
      <c r="K376" t="str">
        <f>"3"</f>
        <v>3</v>
      </c>
      <c r="L376" t="str">
        <f>"NPOC"</f>
        <v>NPOC</v>
      </c>
      <c r="M376" t="str">
        <f>"30.21"</f>
        <v>30.21</v>
      </c>
      <c r="N376" t="str">
        <f>"23.41"</f>
        <v>23.41</v>
      </c>
      <c r="O376" t="str">
        <f>"NPOC:22.25mg/L TN:26.61mg/L"</f>
        <v>NPOC:22.25mg/L TN:26.61mg/L</v>
      </c>
      <c r="P376">
        <v>1</v>
      </c>
      <c r="Q376" t="str">
        <f>"80"</f>
        <v>80</v>
      </c>
    </row>
    <row r="377" spans="1:17" x14ac:dyDescent="0.2">
      <c r="A377" t="str">
        <f>"Unknown"</f>
        <v>Unknown</v>
      </c>
      <c r="B377" t="str">
        <f>"NPOC/TN"</f>
        <v>NPOC/TN</v>
      </c>
      <c r="C377" t="str">
        <f>"25ppm"</f>
        <v>25ppm</v>
      </c>
      <c r="D377" t="str">
        <f>"25ppm"</f>
        <v>25ppm</v>
      </c>
      <c r="E377" t="str">
        <f>"C:\TOC3201\Methods\Itamar\acid_sample.met"</f>
        <v>C:\TOC3201\Methods\Itamar\acid_sample.met</v>
      </c>
      <c r="F377" t="str">
        <f>"C:\TOC3201\CalCurves\Itamar\C_cal_100ppm_acid_laurel.2019_08_21_13_17_46.cal"</f>
        <v>C:\TOC3201\CalCurves\Itamar\C_cal_100ppm_acid_laurel.2019_08_21_13_17_46.cal</v>
      </c>
      <c r="G377">
        <v>1</v>
      </c>
      <c r="H377" t="str">
        <f>""</f>
        <v/>
      </c>
      <c r="I377" t="str">
        <f>"8/22/2019 8:24:30 AM"</f>
        <v>8/22/2019 8:24:30 AM</v>
      </c>
      <c r="J377" t="str">
        <f>"1"</f>
        <v>1</v>
      </c>
      <c r="K377" t="str">
        <f>"4"</f>
        <v>4</v>
      </c>
      <c r="L377" t="str">
        <f>"NPOC"</f>
        <v>NPOC</v>
      </c>
      <c r="M377" t="str">
        <f>"30.32"</f>
        <v>30.32</v>
      </c>
      <c r="N377" t="str">
        <f>"23.50"</f>
        <v>23.50</v>
      </c>
      <c r="O377" t="str">
        <f>"NPOC:22.25mg/L TN:26.61mg/L"</f>
        <v>NPOC:22.25mg/L TN:26.61mg/L</v>
      </c>
      <c r="P377">
        <v>1</v>
      </c>
      <c r="Q377" t="str">
        <f>"80"</f>
        <v>80</v>
      </c>
    </row>
    <row r="378" spans="1:17" x14ac:dyDescent="0.2">
      <c r="A378" t="str">
        <f>"Unknown"</f>
        <v>Unknown</v>
      </c>
      <c r="B378" t="str">
        <f>"NPOC/TN"</f>
        <v>NPOC/TN</v>
      </c>
      <c r="C378" t="str">
        <f>"25ppm"</f>
        <v>25ppm</v>
      </c>
      <c r="D378" t="str">
        <f>"25ppm"</f>
        <v>25ppm</v>
      </c>
      <c r="E378" t="str">
        <f>"C:\TOC3201\Methods\Itamar\acid_sample.met"</f>
        <v>C:\TOC3201\Methods\Itamar\acid_sample.met</v>
      </c>
      <c r="F378" t="str">
        <f>"C:\TOC3201\CalCurves\Itamar\C_cal_100ppm_acid_laurel.2019_08_21_13_17_46.cal"</f>
        <v>C:\TOC3201\CalCurves\Itamar\C_cal_100ppm_acid_laurel.2019_08_21_13_17_46.cal</v>
      </c>
      <c r="G378">
        <v>1</v>
      </c>
      <c r="H378" t="str">
        <f>""</f>
        <v/>
      </c>
      <c r="I378" t="str">
        <f>"8/22/2019 8:27:39 AM"</f>
        <v>8/22/2019 8:27:39 AM</v>
      </c>
      <c r="J378" t="str">
        <f>"1"</f>
        <v>1</v>
      </c>
      <c r="K378" t="str">
        <f>"5"</f>
        <v>5</v>
      </c>
      <c r="L378" t="str">
        <f>"NPOC"</f>
        <v>NPOC</v>
      </c>
      <c r="M378" t="str">
        <f>"28.57"</f>
        <v>28.57</v>
      </c>
      <c r="N378" t="str">
        <f>"22.07"</f>
        <v>22.07</v>
      </c>
      <c r="O378" t="str">
        <f>"NPOC:22.25mg/L TN:26.61mg/L"</f>
        <v>NPOC:22.25mg/L TN:26.61mg/L</v>
      </c>
      <c r="P378">
        <v>0</v>
      </c>
      <c r="Q378" t="str">
        <f>"80"</f>
        <v>80</v>
      </c>
    </row>
    <row r="379" spans="1:17" x14ac:dyDescent="0.2">
      <c r="A379" t="str">
        <f>"Unknown"</f>
        <v>Unknown</v>
      </c>
      <c r="B379" t="str">
        <f>"NPOC/TN"</f>
        <v>NPOC/TN</v>
      </c>
      <c r="C379" t="str">
        <f>"25ppm"</f>
        <v>25ppm</v>
      </c>
      <c r="D379" t="str">
        <f>"25ppm"</f>
        <v>25ppm</v>
      </c>
      <c r="E379" t="str">
        <f>"C:\TOC3201\Methods\Itamar\acid_sample.met"</f>
        <v>C:\TOC3201\Methods\Itamar\acid_sample.met</v>
      </c>
      <c r="F379" t="str">
        <f>"C:\TOC3201\CalCurves\Itamar\N_cal_25ppm_acid_laurel.2019_08_21_15_23_49.cal"</f>
        <v>C:\TOC3201\CalCurves\Itamar\N_cal_25ppm_acid_laurel.2019_08_21_15_23_49.cal</v>
      </c>
      <c r="G379">
        <v>1</v>
      </c>
      <c r="H379" t="str">
        <f>""</f>
        <v/>
      </c>
      <c r="I379" t="str">
        <f>"8/22/2019 8:11:55 AM"</f>
        <v>8/22/2019 8:11:55 AM</v>
      </c>
      <c r="J379" t="str">
        <f>"1"</f>
        <v>1</v>
      </c>
      <c r="K379" t="str">
        <f>"1"</f>
        <v>1</v>
      </c>
      <c r="L379" t="str">
        <f>"TN"</f>
        <v>TN</v>
      </c>
      <c r="M379" t="str">
        <f>"23.54"</f>
        <v>23.54</v>
      </c>
      <c r="N379" t="str">
        <f>"26.44"</f>
        <v>26.44</v>
      </c>
      <c r="O379" t="str">
        <f>"NPOC:22.25mg/L TN:26.61mg/L"</f>
        <v>NPOC:22.25mg/L TN:26.61mg/L</v>
      </c>
      <c r="P379">
        <v>0</v>
      </c>
      <c r="Q379" t="str">
        <f>"80"</f>
        <v>80</v>
      </c>
    </row>
    <row r="380" spans="1:17" x14ac:dyDescent="0.2">
      <c r="A380" t="str">
        <f>"Unknown"</f>
        <v>Unknown</v>
      </c>
      <c r="B380" t="str">
        <f>"NPOC/TN"</f>
        <v>NPOC/TN</v>
      </c>
      <c r="C380" t="str">
        <f>"25ppm"</f>
        <v>25ppm</v>
      </c>
      <c r="D380" t="str">
        <f>"25ppm"</f>
        <v>25ppm</v>
      </c>
      <c r="E380" t="str">
        <f>"C:\TOC3201\Methods\Itamar\acid_sample.met"</f>
        <v>C:\TOC3201\Methods\Itamar\acid_sample.met</v>
      </c>
      <c r="F380" t="str">
        <f>"C:\TOC3201\CalCurves\Itamar\N_cal_25ppm_acid_laurel.2019_08_21_15_23_49.cal"</f>
        <v>C:\TOC3201\CalCurves\Itamar\N_cal_25ppm_acid_laurel.2019_08_21_15_23_49.cal</v>
      </c>
      <c r="G380">
        <v>1</v>
      </c>
      <c r="H380" t="str">
        <f>""</f>
        <v/>
      </c>
      <c r="I380" t="str">
        <f>"8/22/2019 8:15:36 AM"</f>
        <v>8/22/2019 8:15:36 AM</v>
      </c>
      <c r="J380" t="str">
        <f>"1"</f>
        <v>1</v>
      </c>
      <c r="K380" t="str">
        <f>"2"</f>
        <v>2</v>
      </c>
      <c r="L380" t="str">
        <f>"TN"</f>
        <v>TN</v>
      </c>
      <c r="M380" t="str">
        <f>"22.33"</f>
        <v>22.33</v>
      </c>
      <c r="N380" t="str">
        <f>"25.12"</f>
        <v>25.12</v>
      </c>
      <c r="O380" t="str">
        <f>"NPOC:22.25mg/L TN:26.61mg/L"</f>
        <v>NPOC:22.25mg/L TN:26.61mg/L</v>
      </c>
      <c r="P380">
        <v>1</v>
      </c>
      <c r="Q380" t="str">
        <f>"80"</f>
        <v>80</v>
      </c>
    </row>
    <row r="381" spans="1:17" x14ac:dyDescent="0.2">
      <c r="A381" t="str">
        <f>"Unknown"</f>
        <v>Unknown</v>
      </c>
      <c r="B381" t="str">
        <f>"NPOC/TN"</f>
        <v>NPOC/TN</v>
      </c>
      <c r="C381" t="str">
        <f>"25ppm"</f>
        <v>25ppm</v>
      </c>
      <c r="D381" t="str">
        <f>"25ppm"</f>
        <v>25ppm</v>
      </c>
      <c r="E381" t="str">
        <f>"C:\TOC3201\Methods\Itamar\acid_sample.met"</f>
        <v>C:\TOC3201\Methods\Itamar\acid_sample.met</v>
      </c>
      <c r="F381" t="str">
        <f>"C:\TOC3201\CalCurves\Itamar\N_cal_25ppm_acid_laurel.2019_08_21_15_23_49.cal"</f>
        <v>C:\TOC3201\CalCurves\Itamar\N_cal_25ppm_acid_laurel.2019_08_21_15_23_49.cal</v>
      </c>
      <c r="G381">
        <v>1</v>
      </c>
      <c r="H381" t="str">
        <f>""</f>
        <v/>
      </c>
      <c r="I381" t="str">
        <f>"8/22/2019 8:19:31 AM"</f>
        <v>8/22/2019 8:19:31 AM</v>
      </c>
      <c r="J381" t="str">
        <f>"1"</f>
        <v>1</v>
      </c>
      <c r="K381" t="str">
        <f>"3"</f>
        <v>3</v>
      </c>
      <c r="L381" t="str">
        <f>"TN"</f>
        <v>TN</v>
      </c>
      <c r="M381" t="str">
        <f>"23.37"</f>
        <v>23.37</v>
      </c>
      <c r="N381" t="str">
        <f>"26.26"</f>
        <v>26.26</v>
      </c>
      <c r="O381" t="str">
        <f>"NPOC:22.25mg/L TN:26.61mg/L"</f>
        <v>NPOC:22.25mg/L TN:26.61mg/L</v>
      </c>
      <c r="P381">
        <v>0</v>
      </c>
      <c r="Q381" t="str">
        <f>"80"</f>
        <v>80</v>
      </c>
    </row>
    <row r="382" spans="1:17" x14ac:dyDescent="0.2">
      <c r="A382" t="str">
        <f>"Unknown"</f>
        <v>Unknown</v>
      </c>
      <c r="B382" t="str">
        <f>"NPOC/TN"</f>
        <v>NPOC/TN</v>
      </c>
      <c r="C382" t="str">
        <f>"25ppm"</f>
        <v>25ppm</v>
      </c>
      <c r="D382" t="str">
        <f>"25ppm"</f>
        <v>25ppm</v>
      </c>
      <c r="E382" t="str">
        <f>"C:\TOC3201\Methods\Itamar\acid_sample.met"</f>
        <v>C:\TOC3201\Methods\Itamar\acid_sample.met</v>
      </c>
      <c r="F382" t="str">
        <f>"C:\TOC3201\CalCurves\Itamar\N_cal_25ppm_acid_laurel.2019_08_21_15_23_49.cal"</f>
        <v>C:\TOC3201\CalCurves\Itamar\N_cal_25ppm_acid_laurel.2019_08_21_15_23_49.cal</v>
      </c>
      <c r="G382">
        <v>1</v>
      </c>
      <c r="H382" t="str">
        <f>""</f>
        <v/>
      </c>
      <c r="I382" t="str">
        <f>"8/22/2019 8:24:30 AM"</f>
        <v>8/22/2019 8:24:30 AM</v>
      </c>
      <c r="J382" t="str">
        <f>"1"</f>
        <v>1</v>
      </c>
      <c r="K382" t="str">
        <f>"4"</f>
        <v>4</v>
      </c>
      <c r="L382" t="str">
        <f>"TN"</f>
        <v>TN</v>
      </c>
      <c r="M382" t="str">
        <f>"24.17"</f>
        <v>24.17</v>
      </c>
      <c r="N382" t="str">
        <f>"27.13"</f>
        <v>27.13</v>
      </c>
      <c r="O382" t="str">
        <f>"NPOC:22.25mg/L TN:26.61mg/L"</f>
        <v>NPOC:22.25mg/L TN:26.61mg/L</v>
      </c>
      <c r="P382">
        <v>0</v>
      </c>
      <c r="Q382" t="str">
        <f>"80"</f>
        <v>80</v>
      </c>
    </row>
    <row r="383" spans="1:17" x14ac:dyDescent="0.2">
      <c r="A383" t="str">
        <f>"Unknown"</f>
        <v>Unknown</v>
      </c>
      <c r="B383" t="str">
        <f>"NPOC/TN"</f>
        <v>NPOC/TN</v>
      </c>
      <c r="C383" t="str">
        <f>"1170"</f>
        <v>1170</v>
      </c>
      <c r="D383" t="str">
        <f>"DI"</f>
        <v>DI</v>
      </c>
      <c r="E383" t="str">
        <f>"C:\TOC3201\Methods\Itamar\acid_sample.met"</f>
        <v>C:\TOC3201\Methods\Itamar\acid_sample.met</v>
      </c>
      <c r="F383" t="str">
        <f>"C:\TOC3201\CalCurves\Itamar\C_cal_100ppm_acid_laurel.2019_08_21_13_17_46.cal"</f>
        <v>C:\TOC3201\CalCurves\Itamar\C_cal_100ppm_acid_laurel.2019_08_21_13_17_46.cal</v>
      </c>
      <c r="G383">
        <v>1</v>
      </c>
      <c r="H383" t="str">
        <f>""</f>
        <v/>
      </c>
      <c r="I383" t="str">
        <f>"8/22/2019 8:38:17 AM"</f>
        <v>8/22/2019 8:38:17 AM</v>
      </c>
      <c r="J383" t="str">
        <f>"1"</f>
        <v>1</v>
      </c>
      <c r="K383" t="str">
        <f>"1"</f>
        <v>1</v>
      </c>
      <c r="L383" t="str">
        <f>"NPOC"</f>
        <v>NPOC</v>
      </c>
      <c r="M383" t="str">
        <f>"119.7"</f>
        <v>119.7</v>
      </c>
      <c r="N383" t="str">
        <f>"24.15"</f>
        <v>24.15</v>
      </c>
      <c r="O383" t="str">
        <f>"NPOC:23.98mg/L TN:3.284mg/L"</f>
        <v>NPOC:23.98mg/L TN:3.284mg/L</v>
      </c>
      <c r="P383">
        <v>0</v>
      </c>
      <c r="Q383" t="str">
        <f>"80"</f>
        <v>80</v>
      </c>
    </row>
    <row r="384" spans="1:17" x14ac:dyDescent="0.2">
      <c r="A384" t="str">
        <f>"Unknown"</f>
        <v>Unknown</v>
      </c>
      <c r="B384" t="str">
        <f>"NPOC/TN"</f>
        <v>NPOC/TN</v>
      </c>
      <c r="C384" t="str">
        <f>"1170"</f>
        <v>1170</v>
      </c>
      <c r="D384" t="str">
        <f>"DI"</f>
        <v>DI</v>
      </c>
      <c r="E384" t="str">
        <f>"C:\TOC3201\Methods\Itamar\acid_sample.met"</f>
        <v>C:\TOC3201\Methods\Itamar\acid_sample.met</v>
      </c>
      <c r="F384" t="str">
        <f>"C:\TOC3201\CalCurves\Itamar\C_cal_100ppm_acid_laurel.2019_08_21_13_17_46.cal"</f>
        <v>C:\TOC3201\CalCurves\Itamar\C_cal_100ppm_acid_laurel.2019_08_21_13_17_46.cal</v>
      </c>
      <c r="G384">
        <v>1</v>
      </c>
      <c r="H384" t="str">
        <f>""</f>
        <v/>
      </c>
      <c r="I384" t="str">
        <f>"8/22/2019 8:42:19 AM"</f>
        <v>8/22/2019 8:42:19 AM</v>
      </c>
      <c r="J384" t="str">
        <f>"1"</f>
        <v>1</v>
      </c>
      <c r="K384" t="str">
        <f>"2"</f>
        <v>2</v>
      </c>
      <c r="L384" t="str">
        <f>"NPOC"</f>
        <v>NPOC</v>
      </c>
      <c r="M384" t="str">
        <f>"116.2"</f>
        <v>116.2</v>
      </c>
      <c r="N384" t="str">
        <f>"23.43"</f>
        <v>23.43</v>
      </c>
      <c r="O384" t="str">
        <f>"NPOC:23.98mg/L TN:3.284mg/L"</f>
        <v>NPOC:23.98mg/L TN:3.284mg/L</v>
      </c>
      <c r="P384">
        <v>0</v>
      </c>
      <c r="Q384" t="str">
        <f>"80"</f>
        <v>80</v>
      </c>
    </row>
    <row r="385" spans="1:17" x14ac:dyDescent="0.2">
      <c r="A385" t="str">
        <f>"Unknown"</f>
        <v>Unknown</v>
      </c>
      <c r="B385" t="str">
        <f>"NPOC/TN"</f>
        <v>NPOC/TN</v>
      </c>
      <c r="C385" t="str">
        <f>"1170"</f>
        <v>1170</v>
      </c>
      <c r="D385" t="str">
        <f>"DI"</f>
        <v>DI</v>
      </c>
      <c r="E385" t="str">
        <f>"C:\TOC3201\Methods\Itamar\acid_sample.met"</f>
        <v>C:\TOC3201\Methods\Itamar\acid_sample.met</v>
      </c>
      <c r="F385" t="str">
        <f>"C:\TOC3201\CalCurves\Itamar\C_cal_100ppm_acid_laurel.2019_08_21_13_17_46.cal"</f>
        <v>C:\TOC3201\CalCurves\Itamar\C_cal_100ppm_acid_laurel.2019_08_21_13_17_46.cal</v>
      </c>
      <c r="G385">
        <v>1</v>
      </c>
      <c r="H385" t="str">
        <f>""</f>
        <v/>
      </c>
      <c r="I385" t="str">
        <f>"8/22/2019 8:46:19 AM"</f>
        <v>8/22/2019 8:46:19 AM</v>
      </c>
      <c r="J385" t="str">
        <f>"1"</f>
        <v>1</v>
      </c>
      <c r="K385" t="str">
        <f>"3"</f>
        <v>3</v>
      </c>
      <c r="L385" t="str">
        <f>"NPOC"</f>
        <v>NPOC</v>
      </c>
      <c r="M385" t="str">
        <f>"125.3"</f>
        <v>125.3</v>
      </c>
      <c r="N385" t="str">
        <f>"25.29"</f>
        <v>25.29</v>
      </c>
      <c r="O385" t="str">
        <f>"NPOC:23.98mg/L TN:3.284mg/L"</f>
        <v>NPOC:23.98mg/L TN:3.284mg/L</v>
      </c>
      <c r="P385">
        <v>1</v>
      </c>
      <c r="Q385" t="str">
        <f>"80"</f>
        <v>80</v>
      </c>
    </row>
    <row r="386" spans="1:17" x14ac:dyDescent="0.2">
      <c r="A386" t="str">
        <f>"Unknown"</f>
        <v>Unknown</v>
      </c>
      <c r="B386" t="str">
        <f>"NPOC/TN"</f>
        <v>NPOC/TN</v>
      </c>
      <c r="C386" t="str">
        <f>"1170"</f>
        <v>1170</v>
      </c>
      <c r="D386" t="str">
        <f>"DI"</f>
        <v>DI</v>
      </c>
      <c r="E386" t="str">
        <f>"C:\TOC3201\Methods\Itamar\acid_sample.met"</f>
        <v>C:\TOC3201\Methods\Itamar\acid_sample.met</v>
      </c>
      <c r="F386" t="str">
        <f>"C:\TOC3201\CalCurves\Itamar\C_cal_100ppm_acid_laurel.2019_08_21_13_17_46.cal"</f>
        <v>C:\TOC3201\CalCurves\Itamar\C_cal_100ppm_acid_laurel.2019_08_21_13_17_46.cal</v>
      </c>
      <c r="G386">
        <v>1</v>
      </c>
      <c r="H386" t="str">
        <f>""</f>
        <v/>
      </c>
      <c r="I386" t="str">
        <f>"8/22/2019 8:50:21 AM"</f>
        <v>8/22/2019 8:50:21 AM</v>
      </c>
      <c r="J386" t="str">
        <f>"1"</f>
        <v>1</v>
      </c>
      <c r="K386" t="str">
        <f>"4"</f>
        <v>4</v>
      </c>
      <c r="L386" t="str">
        <f>"NPOC"</f>
        <v>NPOC</v>
      </c>
      <c r="M386" t="str">
        <f>"120.7"</f>
        <v>120.7</v>
      </c>
      <c r="N386" t="str">
        <f>"24.35"</f>
        <v>24.35</v>
      </c>
      <c r="O386" t="str">
        <f>"NPOC:23.98mg/L TN:3.284mg/L"</f>
        <v>NPOC:23.98mg/L TN:3.284mg/L</v>
      </c>
      <c r="P386">
        <v>0</v>
      </c>
      <c r="Q386" t="str">
        <f>"80"</f>
        <v>80</v>
      </c>
    </row>
    <row r="387" spans="1:17" x14ac:dyDescent="0.2">
      <c r="A387" t="str">
        <f>"Unknown"</f>
        <v>Unknown</v>
      </c>
      <c r="B387" t="str">
        <f>"NPOC/TN"</f>
        <v>NPOC/TN</v>
      </c>
      <c r="C387" t="str">
        <f>"1170"</f>
        <v>1170</v>
      </c>
      <c r="D387" t="str">
        <f>"DI"</f>
        <v>DI</v>
      </c>
      <c r="E387" t="str">
        <f>"C:\TOC3201\Methods\Itamar\acid_sample.met"</f>
        <v>C:\TOC3201\Methods\Itamar\acid_sample.met</v>
      </c>
      <c r="F387" t="str">
        <f>"C:\TOC3201\CalCurves\Itamar\N_cal_25ppm_acid_laurel.2019_08_21_15_23_49.cal"</f>
        <v>C:\TOC3201\CalCurves\Itamar\N_cal_25ppm_acid_laurel.2019_08_21_15_23_49.cal</v>
      </c>
      <c r="G387">
        <v>1</v>
      </c>
      <c r="H387" t="str">
        <f>""</f>
        <v/>
      </c>
      <c r="I387" t="str">
        <f>"8/22/2019 8:38:17 AM"</f>
        <v>8/22/2019 8:38:17 AM</v>
      </c>
      <c r="J387" t="str">
        <f>"1"</f>
        <v>1</v>
      </c>
      <c r="K387" t="str">
        <f>"1"</f>
        <v>1</v>
      </c>
      <c r="L387" t="str">
        <f>"TN"</f>
        <v>TN</v>
      </c>
      <c r="M387" t="str">
        <f>"11.69"</f>
        <v>11.69</v>
      </c>
      <c r="N387" t="str">
        <f>"3.361"</f>
        <v>3.361</v>
      </c>
      <c r="O387" t="str">
        <f>"NPOC:23.98mg/L TN:3.284mg/L"</f>
        <v>NPOC:23.98mg/L TN:3.284mg/L</v>
      </c>
      <c r="P387">
        <v>0</v>
      </c>
      <c r="Q387" t="str">
        <f>"80"</f>
        <v>80</v>
      </c>
    </row>
    <row r="388" spans="1:17" x14ac:dyDescent="0.2">
      <c r="A388" t="str">
        <f>"Unknown"</f>
        <v>Unknown</v>
      </c>
      <c r="B388" t="str">
        <f>"NPOC/TN"</f>
        <v>NPOC/TN</v>
      </c>
      <c r="C388" t="str">
        <f>"1170"</f>
        <v>1170</v>
      </c>
      <c r="D388" t="str">
        <f>"DI"</f>
        <v>DI</v>
      </c>
      <c r="E388" t="str">
        <f>"C:\TOC3201\Methods\Itamar\acid_sample.met"</f>
        <v>C:\TOC3201\Methods\Itamar\acid_sample.met</v>
      </c>
      <c r="F388" t="str">
        <f>"C:\TOC3201\CalCurves\Itamar\N_cal_25ppm_acid_laurel.2019_08_21_15_23_49.cal"</f>
        <v>C:\TOC3201\CalCurves\Itamar\N_cal_25ppm_acid_laurel.2019_08_21_15_23_49.cal</v>
      </c>
      <c r="G388">
        <v>1</v>
      </c>
      <c r="H388" t="str">
        <f>""</f>
        <v/>
      </c>
      <c r="I388" t="str">
        <f>"8/22/2019 8:42:19 AM"</f>
        <v>8/22/2019 8:42:19 AM</v>
      </c>
      <c r="J388" t="str">
        <f>"1"</f>
        <v>1</v>
      </c>
      <c r="K388" t="str">
        <f>"2"</f>
        <v>2</v>
      </c>
      <c r="L388" t="str">
        <f>"TN"</f>
        <v>TN</v>
      </c>
      <c r="M388" t="str">
        <f>"11.33"</f>
        <v>11.33</v>
      </c>
      <c r="N388" t="str">
        <f>"3.262"</f>
        <v>3.262</v>
      </c>
      <c r="O388" t="str">
        <f>"NPOC:23.98mg/L TN:3.284mg/L"</f>
        <v>NPOC:23.98mg/L TN:3.284mg/L</v>
      </c>
      <c r="P388">
        <v>0</v>
      </c>
      <c r="Q388" t="str">
        <f>"80"</f>
        <v>80</v>
      </c>
    </row>
    <row r="389" spans="1:17" x14ac:dyDescent="0.2">
      <c r="A389" t="str">
        <f>"Unknown"</f>
        <v>Unknown</v>
      </c>
      <c r="B389" t="str">
        <f>"NPOC/TN"</f>
        <v>NPOC/TN</v>
      </c>
      <c r="C389" t="str">
        <f>"1170"</f>
        <v>1170</v>
      </c>
      <c r="D389" t="str">
        <f>"DI"</f>
        <v>DI</v>
      </c>
      <c r="E389" t="str">
        <f>"C:\TOC3201\Methods\Itamar\acid_sample.met"</f>
        <v>C:\TOC3201\Methods\Itamar\acid_sample.met</v>
      </c>
      <c r="F389" t="str">
        <f>"C:\TOC3201\CalCurves\Itamar\N_cal_25ppm_acid_laurel.2019_08_21_15_23_49.cal"</f>
        <v>C:\TOC3201\CalCurves\Itamar\N_cal_25ppm_acid_laurel.2019_08_21_15_23_49.cal</v>
      </c>
      <c r="G389">
        <v>1</v>
      </c>
      <c r="H389" t="str">
        <f>""</f>
        <v/>
      </c>
      <c r="I389" t="str">
        <f>"8/22/2019 8:46:19 AM"</f>
        <v>8/22/2019 8:46:19 AM</v>
      </c>
      <c r="J389" t="str">
        <f>"1"</f>
        <v>1</v>
      </c>
      <c r="K389" t="str">
        <f>"3"</f>
        <v>3</v>
      </c>
      <c r="L389" t="str">
        <f>"TN"</f>
        <v>TN</v>
      </c>
      <c r="M389" t="str">
        <f>"12.41"</f>
        <v>12.41</v>
      </c>
      <c r="N389" t="str">
        <f>"3.558"</f>
        <v>3.558</v>
      </c>
      <c r="O389" t="str">
        <f>"NPOC:23.98mg/L TN:3.284mg/L"</f>
        <v>NPOC:23.98mg/L TN:3.284mg/L</v>
      </c>
      <c r="P389">
        <v>1</v>
      </c>
      <c r="Q389" t="str">
        <f>"80"</f>
        <v>80</v>
      </c>
    </row>
    <row r="390" spans="1:17" x14ac:dyDescent="0.2">
      <c r="A390" t="str">
        <f>"Unknown"</f>
        <v>Unknown</v>
      </c>
      <c r="B390" t="str">
        <f>"NPOC/TN"</f>
        <v>NPOC/TN</v>
      </c>
      <c r="C390" t="str">
        <f>"1170"</f>
        <v>1170</v>
      </c>
      <c r="D390" t="str">
        <f>"DI"</f>
        <v>DI</v>
      </c>
      <c r="E390" t="str">
        <f>"C:\TOC3201\Methods\Itamar\acid_sample.met"</f>
        <v>C:\TOC3201\Methods\Itamar\acid_sample.met</v>
      </c>
      <c r="F390" t="str">
        <f>"C:\TOC3201\CalCurves\Itamar\N_cal_25ppm_acid_laurel.2019_08_21_15_23_49.cal"</f>
        <v>C:\TOC3201\CalCurves\Itamar\N_cal_25ppm_acid_laurel.2019_08_21_15_23_49.cal</v>
      </c>
      <c r="G390">
        <v>1</v>
      </c>
      <c r="H390" t="str">
        <f>""</f>
        <v/>
      </c>
      <c r="I390" t="str">
        <f>"8/22/2019 8:50:21 AM"</f>
        <v>8/22/2019 8:50:21 AM</v>
      </c>
      <c r="J390" t="str">
        <f>"1"</f>
        <v>1</v>
      </c>
      <c r="K390" t="str">
        <f>"4"</f>
        <v>4</v>
      </c>
      <c r="L390" t="str">
        <f>"TN"</f>
        <v>TN</v>
      </c>
      <c r="M390" t="str">
        <f>"12.82"</f>
        <v>12.82</v>
      </c>
      <c r="N390" t="str">
        <f>"3.670"</f>
        <v>3.670</v>
      </c>
      <c r="O390" t="str">
        <f>"NPOC:23.98mg/L TN:3.284mg/L"</f>
        <v>NPOC:23.98mg/L TN:3.284mg/L</v>
      </c>
      <c r="P390">
        <v>1</v>
      </c>
      <c r="Q390" t="str">
        <f>"80"</f>
        <v>80</v>
      </c>
    </row>
    <row r="391" spans="1:17" x14ac:dyDescent="0.2">
      <c r="A391" t="str">
        <f>"Unknown"</f>
        <v>Unknown</v>
      </c>
      <c r="B391" t="str">
        <f>"NPOC/TN"</f>
        <v>NPOC/TN</v>
      </c>
      <c r="C391" t="str">
        <f>"1170"</f>
        <v>1170</v>
      </c>
      <c r="D391" t="str">
        <f>"DI"</f>
        <v>DI</v>
      </c>
      <c r="E391" t="str">
        <f>"C:\TOC3201\Methods\Itamar\acid_sample.met"</f>
        <v>C:\TOC3201\Methods\Itamar\acid_sample.met</v>
      </c>
      <c r="F391" t="str">
        <f>"C:\TOC3201\CalCurves\Itamar\N_cal_25ppm_acid_laurel.2019_08_21_15_23_49.cal"</f>
        <v>C:\TOC3201\CalCurves\Itamar\N_cal_25ppm_acid_laurel.2019_08_21_15_23_49.cal</v>
      </c>
      <c r="G391">
        <v>1</v>
      </c>
      <c r="H391" t="str">
        <f>""</f>
        <v/>
      </c>
      <c r="I391" t="str">
        <f>"8/22/2019 8:53:43 AM"</f>
        <v>8/22/2019 8:53:43 AM</v>
      </c>
      <c r="J391" t="str">
        <f>"1"</f>
        <v>1</v>
      </c>
      <c r="K391" t="str">
        <f>"5"</f>
        <v>5</v>
      </c>
      <c r="L391" t="str">
        <f>"TN"</f>
        <v>TN</v>
      </c>
      <c r="M391" t="str">
        <f>"11.21"</f>
        <v>11.21</v>
      </c>
      <c r="N391" t="str">
        <f>"3.229"</f>
        <v>3.229</v>
      </c>
      <c r="O391" t="str">
        <f>"NPOC:23.98mg/L TN:3.284mg/L"</f>
        <v>NPOC:23.98mg/L TN:3.284mg/L</v>
      </c>
      <c r="P391">
        <v>0</v>
      </c>
      <c r="Q391" t="str">
        <f>"80"</f>
        <v>80</v>
      </c>
    </row>
    <row r="392" spans="1:17" x14ac:dyDescent="0.2">
      <c r="A392" t="str">
        <f>"Unknown"</f>
        <v>Unknown</v>
      </c>
      <c r="B392" t="str">
        <f>"NPOC/TN"</f>
        <v>NPOC/TN</v>
      </c>
      <c r="C392" t="str">
        <f>"1172"</f>
        <v>1172</v>
      </c>
      <c r="D392" t="str">
        <f>"DI"</f>
        <v>DI</v>
      </c>
      <c r="E392" t="str">
        <f>"C:\TOC3201\Methods\Itamar\acid_sample.met"</f>
        <v>C:\TOC3201\Methods\Itamar\acid_sample.met</v>
      </c>
      <c r="F392" t="str">
        <f>"C:\TOC3201\CalCurves\Itamar\C_cal_100ppm_acid_laurel.2019_08_21_13_17_46.cal"</f>
        <v>C:\TOC3201\CalCurves\Itamar\C_cal_100ppm_acid_laurel.2019_08_21_13_17_46.cal</v>
      </c>
      <c r="G392">
        <v>1</v>
      </c>
      <c r="H392" t="str">
        <f>""</f>
        <v/>
      </c>
      <c r="I392" t="str">
        <f>"8/22/2019 9:04:58 AM"</f>
        <v>8/22/2019 9:04:58 AM</v>
      </c>
      <c r="J392" t="str">
        <f>"1"</f>
        <v>1</v>
      </c>
      <c r="K392" t="str">
        <f>"1"</f>
        <v>1</v>
      </c>
      <c r="L392" t="str">
        <f>"NPOC"</f>
        <v>NPOC</v>
      </c>
      <c r="M392" t="str">
        <f>"474.7"</f>
        <v>474.7</v>
      </c>
      <c r="N392" t="str">
        <f>"96.73"</f>
        <v>96.73</v>
      </c>
      <c r="O392" t="str">
        <f>"NPOC:96.06mg/L TN:12.68mg/L"</f>
        <v>NPOC:96.06mg/L TN:12.68mg/L</v>
      </c>
      <c r="P392">
        <v>0</v>
      </c>
      <c r="Q392" t="str">
        <f>"80"</f>
        <v>80</v>
      </c>
    </row>
    <row r="393" spans="1:17" x14ac:dyDescent="0.2">
      <c r="A393" t="str">
        <f>"Unknown"</f>
        <v>Unknown</v>
      </c>
      <c r="B393" t="str">
        <f>"NPOC/TN"</f>
        <v>NPOC/TN</v>
      </c>
      <c r="C393" t="str">
        <f>"1172"</f>
        <v>1172</v>
      </c>
      <c r="D393" t="str">
        <f>"DI"</f>
        <v>DI</v>
      </c>
      <c r="E393" t="str">
        <f>"C:\TOC3201\Methods\Itamar\acid_sample.met"</f>
        <v>C:\TOC3201\Methods\Itamar\acid_sample.met</v>
      </c>
      <c r="F393" t="str">
        <f>"C:\TOC3201\CalCurves\Itamar\C_cal_100ppm_acid_laurel.2019_08_21_13_17_46.cal"</f>
        <v>C:\TOC3201\CalCurves\Itamar\C_cal_100ppm_acid_laurel.2019_08_21_13_17_46.cal</v>
      </c>
      <c r="G393">
        <v>1</v>
      </c>
      <c r="H393" t="str">
        <f>""</f>
        <v/>
      </c>
      <c r="I393" t="str">
        <f>"8/22/2019 9:09:13 AM"</f>
        <v>8/22/2019 9:09:13 AM</v>
      </c>
      <c r="J393" t="str">
        <f>"1"</f>
        <v>1</v>
      </c>
      <c r="K393" t="str">
        <f>"2"</f>
        <v>2</v>
      </c>
      <c r="L393" t="str">
        <f>"NPOC"</f>
        <v>NPOC</v>
      </c>
      <c r="M393" t="str">
        <f>"461.6"</f>
        <v>461.6</v>
      </c>
      <c r="N393" t="str">
        <f>"94.05"</f>
        <v>94.05</v>
      </c>
      <c r="O393" t="str">
        <f>"NPOC:96.06mg/L TN:12.68mg/L"</f>
        <v>NPOC:96.06mg/L TN:12.68mg/L</v>
      </c>
      <c r="P393">
        <v>0</v>
      </c>
      <c r="Q393" t="str">
        <f>"80"</f>
        <v>80</v>
      </c>
    </row>
    <row r="394" spans="1:17" x14ac:dyDescent="0.2">
      <c r="A394" t="str">
        <f>"Unknown"</f>
        <v>Unknown</v>
      </c>
      <c r="B394" t="str">
        <f>"NPOC/TN"</f>
        <v>NPOC/TN</v>
      </c>
      <c r="C394" t="str">
        <f>"1172"</f>
        <v>1172</v>
      </c>
      <c r="D394" t="str">
        <f>"DI"</f>
        <v>DI</v>
      </c>
      <c r="E394" t="str">
        <f>"C:\TOC3201\Methods\Itamar\acid_sample.met"</f>
        <v>C:\TOC3201\Methods\Itamar\acid_sample.met</v>
      </c>
      <c r="F394" t="str">
        <f>"C:\TOC3201\CalCurves\Itamar\C_cal_100ppm_acid_laurel.2019_08_21_13_17_46.cal"</f>
        <v>C:\TOC3201\CalCurves\Itamar\C_cal_100ppm_acid_laurel.2019_08_21_13_17_46.cal</v>
      </c>
      <c r="G394">
        <v>1</v>
      </c>
      <c r="H394" t="str">
        <f>""</f>
        <v/>
      </c>
      <c r="I394" t="str">
        <f>"8/22/2019 9:13:42 AM"</f>
        <v>8/22/2019 9:13:42 AM</v>
      </c>
      <c r="J394" t="str">
        <f>"1"</f>
        <v>1</v>
      </c>
      <c r="K394" t="str">
        <f>"3"</f>
        <v>3</v>
      </c>
      <c r="L394" t="str">
        <f>"NPOC"</f>
        <v>NPOC</v>
      </c>
      <c r="M394" t="str">
        <f>"491.1"</f>
        <v>491.1</v>
      </c>
      <c r="N394" t="str">
        <f>"100.1"</f>
        <v>100.1</v>
      </c>
      <c r="O394" t="str">
        <f>"NPOC:96.06mg/L TN:12.68mg/L"</f>
        <v>NPOC:96.06mg/L TN:12.68mg/L</v>
      </c>
      <c r="P394">
        <v>1</v>
      </c>
      <c r="Q394" t="str">
        <f>"80"</f>
        <v>80</v>
      </c>
    </row>
    <row r="395" spans="1:17" x14ac:dyDescent="0.2">
      <c r="A395" t="str">
        <f>"Unknown"</f>
        <v>Unknown</v>
      </c>
      <c r="B395" t="str">
        <f>"NPOC/TN"</f>
        <v>NPOC/TN</v>
      </c>
      <c r="C395" t="str">
        <f>"1172"</f>
        <v>1172</v>
      </c>
      <c r="D395" t="str">
        <f>"DI"</f>
        <v>DI</v>
      </c>
      <c r="E395" t="str">
        <f>"C:\TOC3201\Methods\Itamar\acid_sample.met"</f>
        <v>C:\TOC3201\Methods\Itamar\acid_sample.met</v>
      </c>
      <c r="F395" t="str">
        <f>"C:\TOC3201\CalCurves\Itamar\C_cal_100ppm_acid_laurel.2019_08_21_13_17_46.cal"</f>
        <v>C:\TOC3201\CalCurves\Itamar\C_cal_100ppm_acid_laurel.2019_08_21_13_17_46.cal</v>
      </c>
      <c r="G395">
        <v>1</v>
      </c>
      <c r="H395" t="str">
        <f>""</f>
        <v/>
      </c>
      <c r="I395" t="str">
        <f>"8/22/2019 9:18:03 AM"</f>
        <v>8/22/2019 9:18:03 AM</v>
      </c>
      <c r="J395" t="str">
        <f>"1"</f>
        <v>1</v>
      </c>
      <c r="K395" t="str">
        <f>"4"</f>
        <v>4</v>
      </c>
      <c r="L395" t="str">
        <f>"NPOC"</f>
        <v>NPOC</v>
      </c>
      <c r="M395" t="str">
        <f>"477.9"</f>
        <v>477.9</v>
      </c>
      <c r="N395" t="str">
        <f>"97.39"</f>
        <v>97.39</v>
      </c>
      <c r="O395" t="str">
        <f>"NPOC:96.06mg/L TN:12.68mg/L"</f>
        <v>NPOC:96.06mg/L TN:12.68mg/L</v>
      </c>
      <c r="P395">
        <v>0</v>
      </c>
      <c r="Q395" t="str">
        <f>"80"</f>
        <v>80</v>
      </c>
    </row>
    <row r="396" spans="1:17" x14ac:dyDescent="0.2">
      <c r="A396" t="str">
        <f>"Unknown"</f>
        <v>Unknown</v>
      </c>
      <c r="B396" t="str">
        <f>"NPOC/TN"</f>
        <v>NPOC/TN</v>
      </c>
      <c r="C396" t="str">
        <f>"1172"</f>
        <v>1172</v>
      </c>
      <c r="D396" t="str">
        <f>"DI"</f>
        <v>DI</v>
      </c>
      <c r="E396" t="str">
        <f>"C:\TOC3201\Methods\Itamar\acid_sample.met"</f>
        <v>C:\TOC3201\Methods\Itamar\acid_sample.met</v>
      </c>
      <c r="F396" t="str">
        <f>"C:\TOC3201\CalCurves\Itamar\N_cal_25ppm_acid_laurel.2019_08_21_15_23_49.cal"</f>
        <v>C:\TOC3201\CalCurves\Itamar\N_cal_25ppm_acid_laurel.2019_08_21_15_23_49.cal</v>
      </c>
      <c r="G396">
        <v>1</v>
      </c>
      <c r="H396" t="str">
        <f>""</f>
        <v/>
      </c>
      <c r="I396" t="str">
        <f>"8/22/2019 9:04:58 AM"</f>
        <v>8/22/2019 9:04:58 AM</v>
      </c>
      <c r="J396" t="str">
        <f>"1"</f>
        <v>1</v>
      </c>
      <c r="K396" t="str">
        <f>"1"</f>
        <v>1</v>
      </c>
      <c r="L396" t="str">
        <f>"TN"</f>
        <v>TN</v>
      </c>
      <c r="M396" t="str">
        <f>"45.34"</f>
        <v>45.34</v>
      </c>
      <c r="N396" t="str">
        <f>"12.59"</f>
        <v>12.59</v>
      </c>
      <c r="O396" t="str">
        <f>"NPOC:96.06mg/L TN:12.68mg/L"</f>
        <v>NPOC:96.06mg/L TN:12.68mg/L</v>
      </c>
      <c r="P396">
        <v>0</v>
      </c>
      <c r="Q396" t="str">
        <f>"80"</f>
        <v>80</v>
      </c>
    </row>
    <row r="397" spans="1:17" x14ac:dyDescent="0.2">
      <c r="A397" t="str">
        <f>"Unknown"</f>
        <v>Unknown</v>
      </c>
      <c r="B397" t="str">
        <f>"NPOC/TN"</f>
        <v>NPOC/TN</v>
      </c>
      <c r="C397" t="str">
        <f>"1172"</f>
        <v>1172</v>
      </c>
      <c r="D397" t="str">
        <f>"DI"</f>
        <v>DI</v>
      </c>
      <c r="E397" t="str">
        <f>"C:\TOC3201\Methods\Itamar\acid_sample.met"</f>
        <v>C:\TOC3201\Methods\Itamar\acid_sample.met</v>
      </c>
      <c r="F397" t="str">
        <f>"C:\TOC3201\CalCurves\Itamar\N_cal_25ppm_acid_laurel.2019_08_21_15_23_49.cal"</f>
        <v>C:\TOC3201\CalCurves\Itamar\N_cal_25ppm_acid_laurel.2019_08_21_15_23_49.cal</v>
      </c>
      <c r="G397">
        <v>1</v>
      </c>
      <c r="H397" t="str">
        <f>""</f>
        <v/>
      </c>
      <c r="I397" t="str">
        <f>"8/22/2019 9:09:13 AM"</f>
        <v>8/22/2019 9:09:13 AM</v>
      </c>
      <c r="J397" t="str">
        <f>"1"</f>
        <v>1</v>
      </c>
      <c r="K397" t="str">
        <f>"2"</f>
        <v>2</v>
      </c>
      <c r="L397" t="str">
        <f>"TN"</f>
        <v>TN</v>
      </c>
      <c r="M397" t="str">
        <f>"44.18"</f>
        <v>44.18</v>
      </c>
      <c r="N397" t="str">
        <f>"12.27"</f>
        <v>12.27</v>
      </c>
      <c r="O397" t="str">
        <f>"NPOC:96.06mg/L TN:12.68mg/L"</f>
        <v>NPOC:96.06mg/L TN:12.68mg/L</v>
      </c>
      <c r="P397">
        <v>1</v>
      </c>
      <c r="Q397" t="str">
        <f>"80"</f>
        <v>80</v>
      </c>
    </row>
    <row r="398" spans="1:17" x14ac:dyDescent="0.2">
      <c r="A398" t="str">
        <f>"Unknown"</f>
        <v>Unknown</v>
      </c>
      <c r="B398" t="str">
        <f>"NPOC/TN"</f>
        <v>NPOC/TN</v>
      </c>
      <c r="C398" t="str">
        <f>"1172"</f>
        <v>1172</v>
      </c>
      <c r="D398" t="str">
        <f>"DI"</f>
        <v>DI</v>
      </c>
      <c r="E398" t="str">
        <f>"C:\TOC3201\Methods\Itamar\acid_sample.met"</f>
        <v>C:\TOC3201\Methods\Itamar\acid_sample.met</v>
      </c>
      <c r="F398" t="str">
        <f>"C:\TOC3201\CalCurves\Itamar\N_cal_25ppm_acid_laurel.2019_08_21_15_23_49.cal"</f>
        <v>C:\TOC3201\CalCurves\Itamar\N_cal_25ppm_acid_laurel.2019_08_21_15_23_49.cal</v>
      </c>
      <c r="G398">
        <v>1</v>
      </c>
      <c r="H398" t="str">
        <f>""</f>
        <v/>
      </c>
      <c r="I398" t="str">
        <f>"8/22/2019 9:13:42 AM"</f>
        <v>8/22/2019 9:13:42 AM</v>
      </c>
      <c r="J398" t="str">
        <f>"1"</f>
        <v>1</v>
      </c>
      <c r="K398" t="str">
        <f>"3"</f>
        <v>3</v>
      </c>
      <c r="L398" t="str">
        <f>"TN"</f>
        <v>TN</v>
      </c>
      <c r="M398" t="str">
        <f>"46.35"</f>
        <v>46.35</v>
      </c>
      <c r="N398" t="str">
        <f>"12.87"</f>
        <v>12.87</v>
      </c>
      <c r="O398" t="str">
        <f>"NPOC:96.06mg/L TN:12.68mg/L"</f>
        <v>NPOC:96.06mg/L TN:12.68mg/L</v>
      </c>
      <c r="P398">
        <v>0</v>
      </c>
      <c r="Q398" t="str">
        <f>"80"</f>
        <v>80</v>
      </c>
    </row>
    <row r="399" spans="1:17" x14ac:dyDescent="0.2">
      <c r="A399" t="str">
        <f>"Unknown"</f>
        <v>Unknown</v>
      </c>
      <c r="B399" t="str">
        <f>"NPOC/TN"</f>
        <v>NPOC/TN</v>
      </c>
      <c r="C399" t="str">
        <f>"1172"</f>
        <v>1172</v>
      </c>
      <c r="D399" t="str">
        <f>"DI"</f>
        <v>DI</v>
      </c>
      <c r="E399" t="str">
        <f>"C:\TOC3201\Methods\Itamar\acid_sample.met"</f>
        <v>C:\TOC3201\Methods\Itamar\acid_sample.met</v>
      </c>
      <c r="F399" t="str">
        <f>"C:\TOC3201\CalCurves\Itamar\N_cal_25ppm_acid_laurel.2019_08_21_15_23_49.cal"</f>
        <v>C:\TOC3201\CalCurves\Itamar\N_cal_25ppm_acid_laurel.2019_08_21_15_23_49.cal</v>
      </c>
      <c r="G399">
        <v>1</v>
      </c>
      <c r="H399" t="str">
        <f>""</f>
        <v/>
      </c>
      <c r="I399" t="str">
        <f>"8/22/2019 9:18:03 AM"</f>
        <v>8/22/2019 9:18:03 AM</v>
      </c>
      <c r="J399" t="str">
        <f>"1"</f>
        <v>1</v>
      </c>
      <c r="K399" t="str">
        <f>"4"</f>
        <v>4</v>
      </c>
      <c r="L399" t="str">
        <f>"TN"</f>
        <v>TN</v>
      </c>
      <c r="M399" t="str">
        <f>"45.30"</f>
        <v>45.30</v>
      </c>
      <c r="N399" t="str">
        <f>"12.58"</f>
        <v>12.58</v>
      </c>
      <c r="O399" t="str">
        <f>"NPOC:96.06mg/L TN:12.68mg/L"</f>
        <v>NPOC:96.06mg/L TN:12.68mg/L</v>
      </c>
      <c r="P399">
        <v>0</v>
      </c>
      <c r="Q399" t="str">
        <f>"80"</f>
        <v>80</v>
      </c>
    </row>
    <row r="400" spans="1:17" x14ac:dyDescent="0.2">
      <c r="A400" t="str">
        <f>"Unknown"</f>
        <v>Unknown</v>
      </c>
      <c r="B400" t="str">
        <f>"NPOC/TN"</f>
        <v>NPOC/TN</v>
      </c>
      <c r="C400" t="str">
        <f>"1174"</f>
        <v>1174</v>
      </c>
      <c r="D400" t="str">
        <f>"DI"</f>
        <v>DI</v>
      </c>
      <c r="E400" t="str">
        <f>"C:\TOC3201\Methods\Itamar\acid_sample.met"</f>
        <v>C:\TOC3201\Methods\Itamar\acid_sample.met</v>
      </c>
      <c r="F400" t="str">
        <f>"C:\TOC3201\CalCurves\Itamar\C_cal_100ppm_acid_laurel.2019_08_21_13_17_46.cal"</f>
        <v>C:\TOC3201\CalCurves\Itamar\C_cal_100ppm_acid_laurel.2019_08_21_13_17_46.cal</v>
      </c>
      <c r="G400">
        <v>1</v>
      </c>
      <c r="H400" t="str">
        <f>""</f>
        <v/>
      </c>
      <c r="I400" t="str">
        <f>"8/22/2019 9:29:19 AM"</f>
        <v>8/22/2019 9:29:19 AM</v>
      </c>
      <c r="J400" t="str">
        <f>"1"</f>
        <v>1</v>
      </c>
      <c r="K400" t="str">
        <f>"1"</f>
        <v>1</v>
      </c>
      <c r="L400" t="str">
        <f>"NPOC"</f>
        <v>NPOC</v>
      </c>
      <c r="M400" t="str">
        <f>"489.1"</f>
        <v>489.1</v>
      </c>
      <c r="N400" t="str">
        <f>"99.68"</f>
        <v>99.68</v>
      </c>
      <c r="O400" t="str">
        <f>"NPOC:98.54mg/L TN:13.29mg/L"</f>
        <v>NPOC:98.54mg/L TN:13.29mg/L</v>
      </c>
      <c r="P400">
        <v>0</v>
      </c>
      <c r="Q400" t="str">
        <f>"80"</f>
        <v>80</v>
      </c>
    </row>
    <row r="401" spans="1:17" x14ac:dyDescent="0.2">
      <c r="A401" t="str">
        <f>"Unknown"</f>
        <v>Unknown</v>
      </c>
      <c r="B401" t="str">
        <f>"NPOC/TN"</f>
        <v>NPOC/TN</v>
      </c>
      <c r="C401" t="str">
        <f>"1174"</f>
        <v>1174</v>
      </c>
      <c r="D401" t="str">
        <f>"DI"</f>
        <v>DI</v>
      </c>
      <c r="E401" t="str">
        <f>"C:\TOC3201\Methods\Itamar\acid_sample.met"</f>
        <v>C:\TOC3201\Methods\Itamar\acid_sample.met</v>
      </c>
      <c r="F401" t="str">
        <f>"C:\TOC3201\CalCurves\Itamar\C_cal_100ppm_acid_laurel.2019_08_21_13_17_46.cal"</f>
        <v>C:\TOC3201\CalCurves\Itamar\C_cal_100ppm_acid_laurel.2019_08_21_13_17_46.cal</v>
      </c>
      <c r="G401">
        <v>1</v>
      </c>
      <c r="H401" t="str">
        <f>""</f>
        <v/>
      </c>
      <c r="I401" t="str">
        <f>"8/22/2019 9:33:30 AM"</f>
        <v>8/22/2019 9:33:30 AM</v>
      </c>
      <c r="J401" t="str">
        <f>"1"</f>
        <v>1</v>
      </c>
      <c r="K401" t="str">
        <f>"2"</f>
        <v>2</v>
      </c>
      <c r="L401" t="str">
        <f>"NPOC"</f>
        <v>NPOC</v>
      </c>
      <c r="M401" t="str">
        <f>"474.3"</f>
        <v>474.3</v>
      </c>
      <c r="N401" t="str">
        <f>"96.65"</f>
        <v>96.65</v>
      </c>
      <c r="O401" t="str">
        <f>"NPOC:98.54mg/L TN:13.29mg/L"</f>
        <v>NPOC:98.54mg/L TN:13.29mg/L</v>
      </c>
      <c r="P401">
        <v>0</v>
      </c>
      <c r="Q401" t="str">
        <f>"80"</f>
        <v>80</v>
      </c>
    </row>
    <row r="402" spans="1:17" x14ac:dyDescent="0.2">
      <c r="A402" t="str">
        <f>"Unknown"</f>
        <v>Unknown</v>
      </c>
      <c r="B402" t="str">
        <f>"NPOC/TN"</f>
        <v>NPOC/TN</v>
      </c>
      <c r="C402" t="str">
        <f>"1174"</f>
        <v>1174</v>
      </c>
      <c r="D402" t="str">
        <f>"DI"</f>
        <v>DI</v>
      </c>
      <c r="E402" t="str">
        <f>"C:\TOC3201\Methods\Itamar\acid_sample.met"</f>
        <v>C:\TOC3201\Methods\Itamar\acid_sample.met</v>
      </c>
      <c r="F402" t="str">
        <f>"C:\TOC3201\CalCurves\Itamar\C_cal_100ppm_acid_laurel.2019_08_21_13_17_46.cal"</f>
        <v>C:\TOC3201\CalCurves\Itamar\C_cal_100ppm_acid_laurel.2019_08_21_13_17_46.cal</v>
      </c>
      <c r="G402">
        <v>1</v>
      </c>
      <c r="H402" t="str">
        <f>""</f>
        <v/>
      </c>
      <c r="I402" t="str">
        <f>"8/22/2019 9:37:49 AM"</f>
        <v>8/22/2019 9:37:49 AM</v>
      </c>
      <c r="J402" t="str">
        <f>"1"</f>
        <v>1</v>
      </c>
      <c r="K402" t="str">
        <f>"3"</f>
        <v>3</v>
      </c>
      <c r="L402" t="str">
        <f>"NPOC"</f>
        <v>NPOC</v>
      </c>
      <c r="M402" t="str">
        <f>"504.4"</f>
        <v>504.4</v>
      </c>
      <c r="N402" t="str">
        <f>"102.8"</f>
        <v>102.8</v>
      </c>
      <c r="O402" t="str">
        <f>"NPOC:98.54mg/L TN:13.29mg/L"</f>
        <v>NPOC:98.54mg/L TN:13.29mg/L</v>
      </c>
      <c r="P402">
        <v>1</v>
      </c>
      <c r="Q402" t="str">
        <f>"80"</f>
        <v>80</v>
      </c>
    </row>
    <row r="403" spans="1:17" x14ac:dyDescent="0.2">
      <c r="A403" t="str">
        <f>"Unknown"</f>
        <v>Unknown</v>
      </c>
      <c r="B403" t="str">
        <f>"NPOC/TN"</f>
        <v>NPOC/TN</v>
      </c>
      <c r="C403" t="str">
        <f>"1174"</f>
        <v>1174</v>
      </c>
      <c r="D403" t="str">
        <f>"DI"</f>
        <v>DI</v>
      </c>
      <c r="E403" t="str">
        <f>"C:\TOC3201\Methods\Itamar\acid_sample.met"</f>
        <v>C:\TOC3201\Methods\Itamar\acid_sample.met</v>
      </c>
      <c r="F403" t="str">
        <f>"C:\TOC3201\CalCurves\Itamar\C_cal_100ppm_acid_laurel.2019_08_21_13_17_46.cal"</f>
        <v>C:\TOC3201\CalCurves\Itamar\C_cal_100ppm_acid_laurel.2019_08_21_13_17_46.cal</v>
      </c>
      <c r="G403">
        <v>1</v>
      </c>
      <c r="H403" t="str">
        <f>""</f>
        <v/>
      </c>
      <c r="I403" t="str">
        <f>"8/22/2019 9:42:08 AM"</f>
        <v>8/22/2019 9:42:08 AM</v>
      </c>
      <c r="J403" t="str">
        <f>"1"</f>
        <v>1</v>
      </c>
      <c r="K403" t="str">
        <f>"4"</f>
        <v>4</v>
      </c>
      <c r="L403" t="str">
        <f>"NPOC"</f>
        <v>NPOC</v>
      </c>
      <c r="M403" t="str">
        <f>"487.2"</f>
        <v>487.2</v>
      </c>
      <c r="N403" t="str">
        <f>"99.29"</f>
        <v>99.29</v>
      </c>
      <c r="O403" t="str">
        <f>"NPOC:98.54mg/L TN:13.29mg/L"</f>
        <v>NPOC:98.54mg/L TN:13.29mg/L</v>
      </c>
      <c r="P403">
        <v>0</v>
      </c>
      <c r="Q403" t="str">
        <f>"80"</f>
        <v>80</v>
      </c>
    </row>
    <row r="404" spans="1:17" x14ac:dyDescent="0.2">
      <c r="A404" t="str">
        <f>"Unknown"</f>
        <v>Unknown</v>
      </c>
      <c r="B404" t="str">
        <f>"NPOC/TN"</f>
        <v>NPOC/TN</v>
      </c>
      <c r="C404" t="str">
        <f>"1174"</f>
        <v>1174</v>
      </c>
      <c r="D404" t="str">
        <f>"DI"</f>
        <v>DI</v>
      </c>
      <c r="E404" t="str">
        <f>"C:\TOC3201\Methods\Itamar\acid_sample.met"</f>
        <v>C:\TOC3201\Methods\Itamar\acid_sample.met</v>
      </c>
      <c r="F404" t="str">
        <f>"C:\TOC3201\CalCurves\Itamar\N_cal_25ppm_acid_laurel.2019_08_21_15_23_49.cal"</f>
        <v>C:\TOC3201\CalCurves\Itamar\N_cal_25ppm_acid_laurel.2019_08_21_15_23_49.cal</v>
      </c>
      <c r="G404">
        <v>1</v>
      </c>
      <c r="H404" t="str">
        <f>""</f>
        <v/>
      </c>
      <c r="I404" t="str">
        <f>"8/22/2019 9:29:19 AM"</f>
        <v>8/22/2019 9:29:19 AM</v>
      </c>
      <c r="J404" t="str">
        <f>"1"</f>
        <v>1</v>
      </c>
      <c r="K404" t="str">
        <f>"1"</f>
        <v>1</v>
      </c>
      <c r="L404" t="str">
        <f>"TN"</f>
        <v>TN</v>
      </c>
      <c r="M404" t="str">
        <f>"48.18"</f>
        <v>48.18</v>
      </c>
      <c r="N404" t="str">
        <f>"13.37"</f>
        <v>13.37</v>
      </c>
      <c r="O404" t="str">
        <f>"NPOC:98.54mg/L TN:13.29mg/L"</f>
        <v>NPOC:98.54mg/L TN:13.29mg/L</v>
      </c>
      <c r="P404">
        <v>0</v>
      </c>
      <c r="Q404" t="str">
        <f>"80"</f>
        <v>80</v>
      </c>
    </row>
    <row r="405" spans="1:17" x14ac:dyDescent="0.2">
      <c r="A405" t="str">
        <f>"Unknown"</f>
        <v>Unknown</v>
      </c>
      <c r="B405" t="str">
        <f>"NPOC/TN"</f>
        <v>NPOC/TN</v>
      </c>
      <c r="C405" t="str">
        <f>"1174"</f>
        <v>1174</v>
      </c>
      <c r="D405" t="str">
        <f>"DI"</f>
        <v>DI</v>
      </c>
      <c r="E405" t="str">
        <f>"C:\TOC3201\Methods\Itamar\acid_sample.met"</f>
        <v>C:\TOC3201\Methods\Itamar\acid_sample.met</v>
      </c>
      <c r="F405" t="str">
        <f>"C:\TOC3201\CalCurves\Itamar\N_cal_25ppm_acid_laurel.2019_08_21_15_23_49.cal"</f>
        <v>C:\TOC3201\CalCurves\Itamar\N_cal_25ppm_acid_laurel.2019_08_21_15_23_49.cal</v>
      </c>
      <c r="G405">
        <v>1</v>
      </c>
      <c r="H405" t="str">
        <f>""</f>
        <v/>
      </c>
      <c r="I405" t="str">
        <f>"8/22/2019 9:33:30 AM"</f>
        <v>8/22/2019 9:33:30 AM</v>
      </c>
      <c r="J405" t="str">
        <f>"1"</f>
        <v>1</v>
      </c>
      <c r="K405" t="str">
        <f>"2"</f>
        <v>2</v>
      </c>
      <c r="L405" t="str">
        <f>"TN"</f>
        <v>TN</v>
      </c>
      <c r="M405" t="str">
        <f>"46.00"</f>
        <v>46.00</v>
      </c>
      <c r="N405" t="str">
        <f>"12.77"</f>
        <v>12.77</v>
      </c>
      <c r="O405" t="str">
        <f>"NPOC:98.54mg/L TN:13.29mg/L"</f>
        <v>NPOC:98.54mg/L TN:13.29mg/L</v>
      </c>
      <c r="P405">
        <v>1</v>
      </c>
      <c r="Q405" t="str">
        <f>"80"</f>
        <v>80</v>
      </c>
    </row>
    <row r="406" spans="1:17" x14ac:dyDescent="0.2">
      <c r="A406" t="str">
        <f>"Unknown"</f>
        <v>Unknown</v>
      </c>
      <c r="B406" t="str">
        <f>"NPOC/TN"</f>
        <v>NPOC/TN</v>
      </c>
      <c r="C406" t="str">
        <f>"1174"</f>
        <v>1174</v>
      </c>
      <c r="D406" t="str">
        <f>"DI"</f>
        <v>DI</v>
      </c>
      <c r="E406" t="str">
        <f>"C:\TOC3201\Methods\Itamar\acid_sample.met"</f>
        <v>C:\TOC3201\Methods\Itamar\acid_sample.met</v>
      </c>
      <c r="F406" t="str">
        <f>"C:\TOC3201\CalCurves\Itamar\N_cal_25ppm_acid_laurel.2019_08_21_15_23_49.cal"</f>
        <v>C:\TOC3201\CalCurves\Itamar\N_cal_25ppm_acid_laurel.2019_08_21_15_23_49.cal</v>
      </c>
      <c r="G406">
        <v>1</v>
      </c>
      <c r="H406" t="str">
        <f>""</f>
        <v/>
      </c>
      <c r="I406" t="str">
        <f>"8/22/2019 9:37:49 AM"</f>
        <v>8/22/2019 9:37:49 AM</v>
      </c>
      <c r="J406" t="str">
        <f>"1"</f>
        <v>1</v>
      </c>
      <c r="K406" t="str">
        <f>"3"</f>
        <v>3</v>
      </c>
      <c r="L406" t="str">
        <f>"TN"</f>
        <v>TN</v>
      </c>
      <c r="M406" t="str">
        <f>"50.03"</f>
        <v>50.03</v>
      </c>
      <c r="N406" t="str">
        <f>"13.88"</f>
        <v>13.88</v>
      </c>
      <c r="O406" t="str">
        <f>"NPOC:98.54mg/L TN:13.29mg/L"</f>
        <v>NPOC:98.54mg/L TN:13.29mg/L</v>
      </c>
      <c r="P406">
        <v>1</v>
      </c>
      <c r="Q406" t="str">
        <f>"80"</f>
        <v>80</v>
      </c>
    </row>
    <row r="407" spans="1:17" x14ac:dyDescent="0.2">
      <c r="A407" t="str">
        <f>"Unknown"</f>
        <v>Unknown</v>
      </c>
      <c r="B407" t="str">
        <f>"NPOC/TN"</f>
        <v>NPOC/TN</v>
      </c>
      <c r="C407" t="str">
        <f>"1174"</f>
        <v>1174</v>
      </c>
      <c r="D407" t="str">
        <f>"DI"</f>
        <v>DI</v>
      </c>
      <c r="E407" t="str">
        <f>"C:\TOC3201\Methods\Itamar\acid_sample.met"</f>
        <v>C:\TOC3201\Methods\Itamar\acid_sample.met</v>
      </c>
      <c r="F407" t="str">
        <f>"C:\TOC3201\CalCurves\Itamar\N_cal_25ppm_acid_laurel.2019_08_21_15_23_49.cal"</f>
        <v>C:\TOC3201\CalCurves\Itamar\N_cal_25ppm_acid_laurel.2019_08_21_15_23_49.cal</v>
      </c>
      <c r="G407">
        <v>1</v>
      </c>
      <c r="H407" t="str">
        <f>""</f>
        <v/>
      </c>
      <c r="I407" t="str">
        <f>"8/22/2019 9:42:08 AM"</f>
        <v>8/22/2019 9:42:08 AM</v>
      </c>
      <c r="J407" t="str">
        <f>"1"</f>
        <v>1</v>
      </c>
      <c r="K407" t="str">
        <f>"4"</f>
        <v>4</v>
      </c>
      <c r="L407" t="str">
        <f>"TN"</f>
        <v>TN</v>
      </c>
      <c r="M407" t="str">
        <f>"47.67"</f>
        <v>47.67</v>
      </c>
      <c r="N407" t="str">
        <f>"13.23"</f>
        <v>13.23</v>
      </c>
      <c r="O407" t="str">
        <f>"NPOC:98.54mg/L TN:13.29mg/L"</f>
        <v>NPOC:98.54mg/L TN:13.29mg/L</v>
      </c>
      <c r="P407">
        <v>0</v>
      </c>
      <c r="Q407" t="str">
        <f>"80"</f>
        <v>80</v>
      </c>
    </row>
    <row r="408" spans="1:17" x14ac:dyDescent="0.2">
      <c r="A408" t="str">
        <f>"Unknown"</f>
        <v>Unknown</v>
      </c>
      <c r="B408" t="str">
        <f>"NPOC/TN"</f>
        <v>NPOC/TN</v>
      </c>
      <c r="C408" t="str">
        <f>"1174"</f>
        <v>1174</v>
      </c>
      <c r="D408" t="str">
        <f>"DI"</f>
        <v>DI</v>
      </c>
      <c r="E408" t="str">
        <f>"C:\TOC3201\Methods\Itamar\acid_sample.met"</f>
        <v>C:\TOC3201\Methods\Itamar\acid_sample.met</v>
      </c>
      <c r="F408" t="str">
        <f>"C:\TOC3201\CalCurves\Itamar\N_cal_25ppm_acid_laurel.2019_08_21_15_23_49.cal"</f>
        <v>C:\TOC3201\CalCurves\Itamar\N_cal_25ppm_acid_laurel.2019_08_21_15_23_49.cal</v>
      </c>
      <c r="G408">
        <v>1</v>
      </c>
      <c r="H408" t="str">
        <f>""</f>
        <v/>
      </c>
      <c r="I408" t="str">
        <f>"8/22/2019 9:45:57 AM"</f>
        <v>8/22/2019 9:45:57 AM</v>
      </c>
      <c r="J408" t="str">
        <f>"1"</f>
        <v>1</v>
      </c>
      <c r="K408" t="str">
        <f>"5"</f>
        <v>5</v>
      </c>
      <c r="L408" t="str">
        <f>"TN"</f>
        <v>TN</v>
      </c>
      <c r="M408" t="str">
        <f>"47.88"</f>
        <v>47.88</v>
      </c>
      <c r="N408" t="str">
        <f>"13.29"</f>
        <v>13.29</v>
      </c>
      <c r="O408" t="str">
        <f>"NPOC:98.54mg/L TN:13.29mg/L"</f>
        <v>NPOC:98.54mg/L TN:13.29mg/L</v>
      </c>
      <c r="P408">
        <v>0</v>
      </c>
      <c r="Q408" t="str">
        <f>"80"</f>
        <v>80</v>
      </c>
    </row>
    <row r="409" spans="1:17" x14ac:dyDescent="0.2">
      <c r="A409" t="str">
        <f>"Unknown"</f>
        <v>Unknown</v>
      </c>
      <c r="B409" t="str">
        <f>"NPOC/TN"</f>
        <v>NPOC/TN</v>
      </c>
      <c r="C409" t="str">
        <f>"1176"</f>
        <v>1176</v>
      </c>
      <c r="D409" t="str">
        <f>"DI"</f>
        <v>DI</v>
      </c>
      <c r="E409" t="str">
        <f>"C:\TOC3201\Methods\Itamar\acid_sample.met"</f>
        <v>C:\TOC3201\Methods\Itamar\acid_sample.met</v>
      </c>
      <c r="F409" t="str">
        <f>"C:\TOC3201\CalCurves\Itamar\C_cal_100ppm_acid_laurel.2019_08_21_13_17_46.cal"</f>
        <v>C:\TOC3201\CalCurves\Itamar\C_cal_100ppm_acid_laurel.2019_08_21_13_17_46.cal</v>
      </c>
      <c r="G409">
        <v>1</v>
      </c>
      <c r="H409" t="str">
        <f>""</f>
        <v/>
      </c>
      <c r="I409" t="str">
        <f>"8/22/2019 9:56:59 AM"</f>
        <v>8/22/2019 9:56:59 AM</v>
      </c>
      <c r="J409" t="str">
        <f>"1"</f>
        <v>1</v>
      </c>
      <c r="K409" t="str">
        <f>"1"</f>
        <v>1</v>
      </c>
      <c r="L409" t="str">
        <f>"NPOC"</f>
        <v>NPOC</v>
      </c>
      <c r="M409" t="str">
        <f>"476.0"</f>
        <v>476.0</v>
      </c>
      <c r="N409" t="str">
        <f>"97.00"</f>
        <v>97.00</v>
      </c>
      <c r="O409" t="str">
        <f>"NPOC:98.33mg/L TN:12.86mg/L"</f>
        <v>NPOC:98.33mg/L TN:12.86mg/L</v>
      </c>
      <c r="P409">
        <v>0</v>
      </c>
      <c r="Q409" t="str">
        <f>"80"</f>
        <v>80</v>
      </c>
    </row>
    <row r="410" spans="1:17" x14ac:dyDescent="0.2">
      <c r="A410" t="str">
        <f>"Unknown"</f>
        <v>Unknown</v>
      </c>
      <c r="B410" t="str">
        <f>"NPOC/TN"</f>
        <v>NPOC/TN</v>
      </c>
      <c r="C410" t="str">
        <f>"1176"</f>
        <v>1176</v>
      </c>
      <c r="D410" t="str">
        <f>"DI"</f>
        <v>DI</v>
      </c>
      <c r="E410" t="str">
        <f>"C:\TOC3201\Methods\Itamar\acid_sample.met"</f>
        <v>C:\TOC3201\Methods\Itamar\acid_sample.met</v>
      </c>
      <c r="F410" t="str">
        <f>"C:\TOC3201\CalCurves\Itamar\C_cal_100ppm_acid_laurel.2019_08_21_13_17_46.cal"</f>
        <v>C:\TOC3201\CalCurves\Itamar\C_cal_100ppm_acid_laurel.2019_08_21_13_17_46.cal</v>
      </c>
      <c r="G410">
        <v>1</v>
      </c>
      <c r="H410" t="str">
        <f>""</f>
        <v/>
      </c>
      <c r="I410" t="str">
        <f>"8/22/2019 10:01:13 AM"</f>
        <v>8/22/2019 10:01:13 AM</v>
      </c>
      <c r="J410" t="str">
        <f>"1"</f>
        <v>1</v>
      </c>
      <c r="K410" t="str">
        <f>"2"</f>
        <v>2</v>
      </c>
      <c r="L410" t="str">
        <f>"NPOC"</f>
        <v>NPOC</v>
      </c>
      <c r="M410" t="str">
        <f>"450.4"</f>
        <v>450.4</v>
      </c>
      <c r="N410" t="str">
        <f>"91.76"</f>
        <v>91.76</v>
      </c>
      <c r="O410" t="str">
        <f>"NPOC:98.33mg/L TN:12.86mg/L"</f>
        <v>NPOC:98.33mg/L TN:12.86mg/L</v>
      </c>
      <c r="P410">
        <v>1</v>
      </c>
      <c r="Q410" t="str">
        <f>"80"</f>
        <v>80</v>
      </c>
    </row>
    <row r="411" spans="1:17" x14ac:dyDescent="0.2">
      <c r="A411" t="str">
        <f>"Unknown"</f>
        <v>Unknown</v>
      </c>
      <c r="B411" t="str">
        <f>"NPOC/TN"</f>
        <v>NPOC/TN</v>
      </c>
      <c r="C411" t="str">
        <f>"1176"</f>
        <v>1176</v>
      </c>
      <c r="D411" t="str">
        <f>"DI"</f>
        <v>DI</v>
      </c>
      <c r="E411" t="str">
        <f>"C:\TOC3201\Methods\Itamar\acid_sample.met"</f>
        <v>C:\TOC3201\Methods\Itamar\acid_sample.met</v>
      </c>
      <c r="F411" t="str">
        <f>"C:\TOC3201\CalCurves\Itamar\C_cal_100ppm_acid_laurel.2019_08_21_13_17_46.cal"</f>
        <v>C:\TOC3201\CalCurves\Itamar\C_cal_100ppm_acid_laurel.2019_08_21_13_17_46.cal</v>
      </c>
      <c r="G411">
        <v>1</v>
      </c>
      <c r="H411" t="str">
        <f>""</f>
        <v/>
      </c>
      <c r="I411" t="str">
        <f>"8/22/2019 10:05:29 AM"</f>
        <v>8/22/2019 10:05:29 AM</v>
      </c>
      <c r="J411" t="str">
        <f>"1"</f>
        <v>1</v>
      </c>
      <c r="K411" t="str">
        <f>"3"</f>
        <v>3</v>
      </c>
      <c r="L411" t="str">
        <f>"NPOC"</f>
        <v>NPOC</v>
      </c>
      <c r="M411" t="str">
        <f>"493.5"</f>
        <v>493.5</v>
      </c>
      <c r="N411" t="str">
        <f>"100.6"</f>
        <v>100.6</v>
      </c>
      <c r="O411" t="str">
        <f>"NPOC:98.33mg/L TN:12.86mg/L"</f>
        <v>NPOC:98.33mg/L TN:12.86mg/L</v>
      </c>
      <c r="P411">
        <v>0</v>
      </c>
      <c r="Q411" t="str">
        <f>"80"</f>
        <v>80</v>
      </c>
    </row>
    <row r="412" spans="1:17" x14ac:dyDescent="0.2">
      <c r="A412" t="str">
        <f>"Unknown"</f>
        <v>Unknown</v>
      </c>
      <c r="B412" t="str">
        <f>"NPOC/TN"</f>
        <v>NPOC/TN</v>
      </c>
      <c r="C412" t="str">
        <f>"1176"</f>
        <v>1176</v>
      </c>
      <c r="D412" t="str">
        <f>"DI"</f>
        <v>DI</v>
      </c>
      <c r="E412" t="str">
        <f>"C:\TOC3201\Methods\Itamar\acid_sample.met"</f>
        <v>C:\TOC3201\Methods\Itamar\acid_sample.met</v>
      </c>
      <c r="F412" t="str">
        <f>"C:\TOC3201\CalCurves\Itamar\C_cal_100ppm_acid_laurel.2019_08_21_13_17_46.cal"</f>
        <v>C:\TOC3201\CalCurves\Itamar\C_cal_100ppm_acid_laurel.2019_08_21_13_17_46.cal</v>
      </c>
      <c r="G412">
        <v>1</v>
      </c>
      <c r="H412" t="str">
        <f>""</f>
        <v/>
      </c>
      <c r="I412" t="str">
        <f>"8/22/2019 10:09:49 AM"</f>
        <v>8/22/2019 10:09:49 AM</v>
      </c>
      <c r="J412" t="str">
        <f>"1"</f>
        <v>1</v>
      </c>
      <c r="K412" t="str">
        <f>"4"</f>
        <v>4</v>
      </c>
      <c r="L412" t="str">
        <f>"NPOC"</f>
        <v>NPOC</v>
      </c>
      <c r="M412" t="str">
        <f>"478.0"</f>
        <v>478.0</v>
      </c>
      <c r="N412" t="str">
        <f>"97.41"</f>
        <v>97.41</v>
      </c>
      <c r="O412" t="str">
        <f>"NPOC:98.33mg/L TN:12.86mg/L"</f>
        <v>NPOC:98.33mg/L TN:12.86mg/L</v>
      </c>
      <c r="P412">
        <v>0</v>
      </c>
      <c r="Q412" t="str">
        <f>"80"</f>
        <v>80</v>
      </c>
    </row>
    <row r="413" spans="1:17" x14ac:dyDescent="0.2">
      <c r="A413" t="str">
        <f>"Unknown"</f>
        <v>Unknown</v>
      </c>
      <c r="B413" t="str">
        <f>"NPOC/TN"</f>
        <v>NPOC/TN</v>
      </c>
      <c r="C413" t="str">
        <f>"1176"</f>
        <v>1176</v>
      </c>
      <c r="D413" t="str">
        <f>"DI"</f>
        <v>DI</v>
      </c>
      <c r="E413" t="str">
        <f>"C:\TOC3201\Methods\Itamar\acid_sample.met"</f>
        <v>C:\TOC3201\Methods\Itamar\acid_sample.met</v>
      </c>
      <c r="F413" t="str">
        <f>"C:\TOC3201\CalCurves\Itamar\N_cal_25ppm_acid_laurel.2019_08_21_15_23_49.cal"</f>
        <v>C:\TOC3201\CalCurves\Itamar\N_cal_25ppm_acid_laurel.2019_08_21_15_23_49.cal</v>
      </c>
      <c r="G413">
        <v>1</v>
      </c>
      <c r="H413" t="str">
        <f>""</f>
        <v/>
      </c>
      <c r="I413" t="str">
        <f>"8/22/2019 9:56:59 AM"</f>
        <v>8/22/2019 9:56:59 AM</v>
      </c>
      <c r="J413" t="str">
        <f>"1"</f>
        <v>1</v>
      </c>
      <c r="K413" t="str">
        <f>"1"</f>
        <v>1</v>
      </c>
      <c r="L413" t="str">
        <f>"TN"</f>
        <v>TN</v>
      </c>
      <c r="M413" t="str">
        <f>"46.00"</f>
        <v>46.00</v>
      </c>
      <c r="N413" t="str">
        <f>"12.77"</f>
        <v>12.77</v>
      </c>
      <c r="O413" t="str">
        <f>"NPOC:98.33mg/L TN:12.86mg/L"</f>
        <v>NPOC:98.33mg/L TN:12.86mg/L</v>
      </c>
      <c r="P413">
        <v>0</v>
      </c>
      <c r="Q413" t="str">
        <f>"80"</f>
        <v>80</v>
      </c>
    </row>
    <row r="414" spans="1:17" x14ac:dyDescent="0.2">
      <c r="A414" t="str">
        <f>"Unknown"</f>
        <v>Unknown</v>
      </c>
      <c r="B414" t="str">
        <f>"NPOC/TN"</f>
        <v>NPOC/TN</v>
      </c>
      <c r="C414" t="str">
        <f>"1176"</f>
        <v>1176</v>
      </c>
      <c r="D414" t="str">
        <f>"DI"</f>
        <v>DI</v>
      </c>
      <c r="E414" t="str">
        <f>"C:\TOC3201\Methods\Itamar\acid_sample.met"</f>
        <v>C:\TOC3201\Methods\Itamar\acid_sample.met</v>
      </c>
      <c r="F414" t="str">
        <f>"C:\TOC3201\CalCurves\Itamar\N_cal_25ppm_acid_laurel.2019_08_21_15_23_49.cal"</f>
        <v>C:\TOC3201\CalCurves\Itamar\N_cal_25ppm_acid_laurel.2019_08_21_15_23_49.cal</v>
      </c>
      <c r="G414">
        <v>1</v>
      </c>
      <c r="H414" t="str">
        <f>""</f>
        <v/>
      </c>
      <c r="I414" t="str">
        <f>"8/22/2019 10:01:13 AM"</f>
        <v>8/22/2019 10:01:13 AM</v>
      </c>
      <c r="J414" t="str">
        <f>"1"</f>
        <v>1</v>
      </c>
      <c r="K414" t="str">
        <f>"2"</f>
        <v>2</v>
      </c>
      <c r="L414" t="str">
        <f>"TN"</f>
        <v>TN</v>
      </c>
      <c r="M414" t="str">
        <f>"42.92"</f>
        <v>42.92</v>
      </c>
      <c r="N414" t="str">
        <f>"11.93"</f>
        <v>11.93</v>
      </c>
      <c r="O414" t="str">
        <f>"NPOC:98.33mg/L TN:12.86mg/L"</f>
        <v>NPOC:98.33mg/L TN:12.86mg/L</v>
      </c>
      <c r="P414">
        <v>1</v>
      </c>
      <c r="Q414" t="str">
        <f>"80"</f>
        <v>80</v>
      </c>
    </row>
    <row r="415" spans="1:17" x14ac:dyDescent="0.2">
      <c r="A415" t="str">
        <f>"Unknown"</f>
        <v>Unknown</v>
      </c>
      <c r="B415" t="str">
        <f>"NPOC/TN"</f>
        <v>NPOC/TN</v>
      </c>
      <c r="C415" t="str">
        <f>"1176"</f>
        <v>1176</v>
      </c>
      <c r="D415" t="str">
        <f>"DI"</f>
        <v>DI</v>
      </c>
      <c r="E415" t="str">
        <f>"C:\TOC3201\Methods\Itamar\acid_sample.met"</f>
        <v>C:\TOC3201\Methods\Itamar\acid_sample.met</v>
      </c>
      <c r="F415" t="str">
        <f>"C:\TOC3201\CalCurves\Itamar\N_cal_25ppm_acid_laurel.2019_08_21_15_23_49.cal"</f>
        <v>C:\TOC3201\CalCurves\Itamar\N_cal_25ppm_acid_laurel.2019_08_21_15_23_49.cal</v>
      </c>
      <c r="G415">
        <v>1</v>
      </c>
      <c r="H415" t="str">
        <f>""</f>
        <v/>
      </c>
      <c r="I415" t="str">
        <f>"8/22/2019 10:05:29 AM"</f>
        <v>8/22/2019 10:05:29 AM</v>
      </c>
      <c r="J415" t="str">
        <f>"1"</f>
        <v>1</v>
      </c>
      <c r="K415" t="str">
        <f>"3"</f>
        <v>3</v>
      </c>
      <c r="L415" t="str">
        <f>"TN"</f>
        <v>TN</v>
      </c>
      <c r="M415" t="str">
        <f>"47.20"</f>
        <v>47.20</v>
      </c>
      <c r="N415" t="str">
        <f>"13.10"</f>
        <v>13.10</v>
      </c>
      <c r="O415" t="str">
        <f>"NPOC:98.33mg/L TN:12.86mg/L"</f>
        <v>NPOC:98.33mg/L TN:12.86mg/L</v>
      </c>
      <c r="P415">
        <v>0</v>
      </c>
      <c r="Q415" t="str">
        <f>"80"</f>
        <v>80</v>
      </c>
    </row>
    <row r="416" spans="1:17" x14ac:dyDescent="0.2">
      <c r="A416" t="str">
        <f>"Unknown"</f>
        <v>Unknown</v>
      </c>
      <c r="B416" t="str">
        <f>"NPOC/TN"</f>
        <v>NPOC/TN</v>
      </c>
      <c r="C416" t="str">
        <f>"1176"</f>
        <v>1176</v>
      </c>
      <c r="D416" t="str">
        <f>"DI"</f>
        <v>DI</v>
      </c>
      <c r="E416" t="str">
        <f>"C:\TOC3201\Methods\Itamar\acid_sample.met"</f>
        <v>C:\TOC3201\Methods\Itamar\acid_sample.met</v>
      </c>
      <c r="F416" t="str">
        <f>"C:\TOC3201\CalCurves\Itamar\N_cal_25ppm_acid_laurel.2019_08_21_15_23_49.cal"</f>
        <v>C:\TOC3201\CalCurves\Itamar\N_cal_25ppm_acid_laurel.2019_08_21_15_23_49.cal</v>
      </c>
      <c r="G416">
        <v>1</v>
      </c>
      <c r="H416" t="str">
        <f>""</f>
        <v/>
      </c>
      <c r="I416" t="str">
        <f>"8/22/2019 10:09:49 AM"</f>
        <v>8/22/2019 10:09:49 AM</v>
      </c>
      <c r="J416" t="str">
        <f>"1"</f>
        <v>1</v>
      </c>
      <c r="K416" t="str">
        <f>"4"</f>
        <v>4</v>
      </c>
      <c r="L416" t="str">
        <f>"TN"</f>
        <v>TN</v>
      </c>
      <c r="M416" t="str">
        <f>"45.82"</f>
        <v>45.82</v>
      </c>
      <c r="N416" t="str">
        <f>"12.72"</f>
        <v>12.72</v>
      </c>
      <c r="O416" t="str">
        <f>"NPOC:98.33mg/L TN:12.86mg/L"</f>
        <v>NPOC:98.33mg/L TN:12.86mg/L</v>
      </c>
      <c r="P416">
        <v>0</v>
      </c>
      <c r="Q416" t="str">
        <f>"80"</f>
        <v>80</v>
      </c>
    </row>
    <row r="417" spans="1:17" x14ac:dyDescent="0.2">
      <c r="A417" t="str">
        <f>"Unknown"</f>
        <v>Unknown</v>
      </c>
      <c r="B417" t="str">
        <f>"NPOC/TN"</f>
        <v>NPOC/TN</v>
      </c>
      <c r="C417" t="str">
        <f>"1105"</f>
        <v>1105</v>
      </c>
      <c r="D417" t="str">
        <f>"DI"</f>
        <v>DI</v>
      </c>
      <c r="E417" t="str">
        <f>"C:\TOC3201\Methods\Itamar\acid_sample.met"</f>
        <v>C:\TOC3201\Methods\Itamar\acid_sample.met</v>
      </c>
      <c r="F417" t="str">
        <f>"C:\TOC3201\CalCurves\Itamar\C_cal_100ppm_acid_laurel.2019_08_21_13_17_46.cal"</f>
        <v>C:\TOC3201\CalCurves\Itamar\C_cal_100ppm_acid_laurel.2019_08_21_13_17_46.cal</v>
      </c>
      <c r="G417">
        <v>1</v>
      </c>
      <c r="H417" t="str">
        <f>""</f>
        <v/>
      </c>
      <c r="I417" t="str">
        <f>"8/22/2019 10:19:22 AM"</f>
        <v>8/22/2019 10:19:22 AM</v>
      </c>
      <c r="J417" t="str">
        <f>"1"</f>
        <v>1</v>
      </c>
      <c r="K417" t="str">
        <f>"1"</f>
        <v>1</v>
      </c>
      <c r="L417" t="str">
        <f>"NPOC"</f>
        <v>NPOC</v>
      </c>
      <c r="M417" t="str">
        <f>"15.72"</f>
        <v>15.72</v>
      </c>
      <c r="N417" t="str">
        <f>"2.889"</f>
        <v>2.889</v>
      </c>
      <c r="O417" t="str">
        <f>"NPOC:2.645mg/L TN:0.1544mg/L"</f>
        <v>NPOC:2.645mg/L TN:0.1544mg/L</v>
      </c>
      <c r="P417">
        <v>1</v>
      </c>
      <c r="Q417" t="str">
        <f>"80"</f>
        <v>80</v>
      </c>
    </row>
    <row r="418" spans="1:17" x14ac:dyDescent="0.2">
      <c r="A418" t="str">
        <f>"Unknown"</f>
        <v>Unknown</v>
      </c>
      <c r="B418" t="str">
        <f>"NPOC/TN"</f>
        <v>NPOC/TN</v>
      </c>
      <c r="C418" t="str">
        <f>"1105"</f>
        <v>1105</v>
      </c>
      <c r="D418" t="str">
        <f>"DI"</f>
        <v>DI</v>
      </c>
      <c r="E418" t="str">
        <f>"C:\TOC3201\Methods\Itamar\acid_sample.met"</f>
        <v>C:\TOC3201\Methods\Itamar\acid_sample.met</v>
      </c>
      <c r="F418" t="str">
        <f>"C:\TOC3201\CalCurves\Itamar\C_cal_100ppm_acid_laurel.2019_08_21_13_17_46.cal"</f>
        <v>C:\TOC3201\CalCurves\Itamar\C_cal_100ppm_acid_laurel.2019_08_21_13_17_46.cal</v>
      </c>
      <c r="G418">
        <v>1</v>
      </c>
      <c r="H418" t="str">
        <f>""</f>
        <v/>
      </c>
      <c r="I418" t="str">
        <f>"8/22/2019 10:22:31 AM"</f>
        <v>8/22/2019 10:22:31 AM</v>
      </c>
      <c r="J418" t="str">
        <f>"1"</f>
        <v>1</v>
      </c>
      <c r="K418" t="str">
        <f>"2"</f>
        <v>2</v>
      </c>
      <c r="L418" t="str">
        <f>"NPOC"</f>
        <v>NPOC</v>
      </c>
      <c r="M418" t="str">
        <f>"14.80"</f>
        <v>14.80</v>
      </c>
      <c r="N418" t="str">
        <f>"2.701"</f>
        <v>2.701</v>
      </c>
      <c r="O418" t="str">
        <f>"NPOC:2.645mg/L TN:0.1544mg/L"</f>
        <v>NPOC:2.645mg/L TN:0.1544mg/L</v>
      </c>
      <c r="P418">
        <v>0</v>
      </c>
      <c r="Q418" t="str">
        <f>"80"</f>
        <v>80</v>
      </c>
    </row>
    <row r="419" spans="1:17" x14ac:dyDescent="0.2">
      <c r="A419" t="str">
        <f>"Unknown"</f>
        <v>Unknown</v>
      </c>
      <c r="B419" t="str">
        <f>"NPOC/TN"</f>
        <v>NPOC/TN</v>
      </c>
      <c r="C419" t="str">
        <f>"1105"</f>
        <v>1105</v>
      </c>
      <c r="D419" t="str">
        <f>"DI"</f>
        <v>DI</v>
      </c>
      <c r="E419" t="str">
        <f>"C:\TOC3201\Methods\Itamar\acid_sample.met"</f>
        <v>C:\TOC3201\Methods\Itamar\acid_sample.met</v>
      </c>
      <c r="F419" t="str">
        <f>"C:\TOC3201\CalCurves\Itamar\C_cal_100ppm_acid_laurel.2019_08_21_13_17_46.cal"</f>
        <v>C:\TOC3201\CalCurves\Itamar\C_cal_100ppm_acid_laurel.2019_08_21_13_17_46.cal</v>
      </c>
      <c r="G419">
        <v>1</v>
      </c>
      <c r="H419" t="str">
        <f>""</f>
        <v/>
      </c>
      <c r="I419" t="str">
        <f>"8/22/2019 10:25:37 AM"</f>
        <v>8/22/2019 10:25:37 AM</v>
      </c>
      <c r="J419" t="str">
        <f>"1"</f>
        <v>1</v>
      </c>
      <c r="K419" t="str">
        <f>"3"</f>
        <v>3</v>
      </c>
      <c r="L419" t="str">
        <f>"NPOC"</f>
        <v>NPOC</v>
      </c>
      <c r="M419" t="str">
        <f>"14.47"</f>
        <v>14.47</v>
      </c>
      <c r="N419" t="str">
        <f>"2.634"</f>
        <v>2.634</v>
      </c>
      <c r="O419" t="str">
        <f>"NPOC:2.645mg/L TN:0.1544mg/L"</f>
        <v>NPOC:2.645mg/L TN:0.1544mg/L</v>
      </c>
      <c r="P419">
        <v>0</v>
      </c>
      <c r="Q419" t="str">
        <f>"80"</f>
        <v>80</v>
      </c>
    </row>
    <row r="420" spans="1:17" x14ac:dyDescent="0.2">
      <c r="A420" t="str">
        <f>"Unknown"</f>
        <v>Unknown</v>
      </c>
      <c r="B420" t="str">
        <f>"NPOC/TN"</f>
        <v>NPOC/TN</v>
      </c>
      <c r="C420" t="str">
        <f>"1105"</f>
        <v>1105</v>
      </c>
      <c r="D420" t="str">
        <f>"DI"</f>
        <v>DI</v>
      </c>
      <c r="E420" t="str">
        <f>"C:\TOC3201\Methods\Itamar\acid_sample.met"</f>
        <v>C:\TOC3201\Methods\Itamar\acid_sample.met</v>
      </c>
      <c r="F420" t="str">
        <f>"C:\TOC3201\CalCurves\Itamar\C_cal_100ppm_acid_laurel.2019_08_21_13_17_46.cal"</f>
        <v>C:\TOC3201\CalCurves\Itamar\C_cal_100ppm_acid_laurel.2019_08_21_13_17_46.cal</v>
      </c>
      <c r="G420">
        <v>1</v>
      </c>
      <c r="H420" t="str">
        <f>""</f>
        <v/>
      </c>
      <c r="I420" t="str">
        <f>"8/22/2019 10:28:50 AM"</f>
        <v>8/22/2019 10:28:50 AM</v>
      </c>
      <c r="J420" t="str">
        <f>"1"</f>
        <v>1</v>
      </c>
      <c r="K420" t="str">
        <f>"4"</f>
        <v>4</v>
      </c>
      <c r="L420" t="str">
        <f>"NPOC"</f>
        <v>NPOC</v>
      </c>
      <c r="M420" t="str">
        <f>"14.30"</f>
        <v>14.30</v>
      </c>
      <c r="N420" t="str">
        <f>"2.599"</f>
        <v>2.599</v>
      </c>
      <c r="O420" t="str">
        <f>"NPOC:2.645mg/L TN:0.1544mg/L"</f>
        <v>NPOC:2.645mg/L TN:0.1544mg/L</v>
      </c>
      <c r="P420">
        <v>0</v>
      </c>
      <c r="Q420" t="str">
        <f>"80"</f>
        <v>80</v>
      </c>
    </row>
    <row r="421" spans="1:17" x14ac:dyDescent="0.2">
      <c r="A421" t="str">
        <f>"Unknown"</f>
        <v>Unknown</v>
      </c>
      <c r="B421" t="str">
        <f>"NPOC/TN"</f>
        <v>NPOC/TN</v>
      </c>
      <c r="C421" t="str">
        <f>"1105"</f>
        <v>1105</v>
      </c>
      <c r="D421" t="str">
        <f>"DI"</f>
        <v>DI</v>
      </c>
      <c r="E421" t="str">
        <f>"C:\TOC3201\Methods\Itamar\acid_sample.met"</f>
        <v>C:\TOC3201\Methods\Itamar\acid_sample.met</v>
      </c>
      <c r="F421" t="str">
        <f>"C:\TOC3201\CalCurves\Itamar\N_cal_25ppm_acid_laurel.2019_08_21_15_23_49.cal"</f>
        <v>C:\TOC3201\CalCurves\Itamar\N_cal_25ppm_acid_laurel.2019_08_21_15_23_49.cal</v>
      </c>
      <c r="G421">
        <v>1</v>
      </c>
      <c r="H421" t="str">
        <f>""</f>
        <v/>
      </c>
      <c r="I421" t="str">
        <f>"8/22/2019 10:19:22 AM"</f>
        <v>8/22/2019 10:19:22 AM</v>
      </c>
      <c r="J421" t="str">
        <f>"1"</f>
        <v>1</v>
      </c>
      <c r="K421" t="str">
        <f>"1"</f>
        <v>1</v>
      </c>
      <c r="L421" t="str">
        <f>"TN"</f>
        <v>TN</v>
      </c>
      <c r="M421" t="str">
        <f>"0.000"</f>
        <v>0.000</v>
      </c>
      <c r="N421" t="str">
        <f>"0.1544"</f>
        <v>0.1544</v>
      </c>
      <c r="O421" t="str">
        <f>"NPOC:2.645mg/L TN:0.1544mg/L"</f>
        <v>NPOC:2.645mg/L TN:0.1544mg/L</v>
      </c>
      <c r="P421">
        <v>0</v>
      </c>
      <c r="Q421" t="str">
        <f>"80"</f>
        <v>80</v>
      </c>
    </row>
    <row r="422" spans="1:17" x14ac:dyDescent="0.2">
      <c r="A422" t="str">
        <f>"Unknown"</f>
        <v>Unknown</v>
      </c>
      <c r="B422" t="str">
        <f>"NPOC/TN"</f>
        <v>NPOC/TN</v>
      </c>
      <c r="C422" t="str">
        <f>"1105"</f>
        <v>1105</v>
      </c>
      <c r="D422" t="str">
        <f>"DI"</f>
        <v>DI</v>
      </c>
      <c r="E422" t="str">
        <f>"C:\TOC3201\Methods\Itamar\acid_sample.met"</f>
        <v>C:\TOC3201\Methods\Itamar\acid_sample.met</v>
      </c>
      <c r="F422" t="str">
        <f>"C:\TOC3201\CalCurves\Itamar\N_cal_25ppm_acid_laurel.2019_08_21_15_23_49.cal"</f>
        <v>C:\TOC3201\CalCurves\Itamar\N_cal_25ppm_acid_laurel.2019_08_21_15_23_49.cal</v>
      </c>
      <c r="G422">
        <v>1</v>
      </c>
      <c r="H422" t="str">
        <f>""</f>
        <v/>
      </c>
      <c r="I422" t="str">
        <f>"8/22/2019 10:22:31 AM"</f>
        <v>8/22/2019 10:22:31 AM</v>
      </c>
      <c r="J422" t="str">
        <f>"1"</f>
        <v>1</v>
      </c>
      <c r="K422" t="str">
        <f>"2"</f>
        <v>2</v>
      </c>
      <c r="L422" t="str">
        <f>"TN"</f>
        <v>TN</v>
      </c>
      <c r="M422" t="str">
        <f>"0.000"</f>
        <v>0.000</v>
      </c>
      <c r="N422" t="str">
        <f>"0.1544"</f>
        <v>0.1544</v>
      </c>
      <c r="O422" t="str">
        <f>"NPOC:2.645mg/L TN:0.1544mg/L"</f>
        <v>NPOC:2.645mg/L TN:0.1544mg/L</v>
      </c>
      <c r="P422">
        <v>0</v>
      </c>
      <c r="Q422" t="str">
        <f>"80"</f>
        <v>80</v>
      </c>
    </row>
    <row r="423" spans="1:17" x14ac:dyDescent="0.2">
      <c r="A423" t="str">
        <f>"Unknown"</f>
        <v>Unknown</v>
      </c>
      <c r="B423" t="str">
        <f>"NPOC/TN"</f>
        <v>NPOC/TN</v>
      </c>
      <c r="C423" t="str">
        <f>"1105"</f>
        <v>1105</v>
      </c>
      <c r="D423" t="str">
        <f>"DI"</f>
        <v>DI</v>
      </c>
      <c r="E423" t="str">
        <f>"C:\TOC3201\Methods\Itamar\acid_sample.met"</f>
        <v>C:\TOC3201\Methods\Itamar\acid_sample.met</v>
      </c>
      <c r="F423" t="str">
        <f>"C:\TOC3201\CalCurves\Itamar\N_cal_25ppm_acid_laurel.2019_08_21_15_23_49.cal"</f>
        <v>C:\TOC3201\CalCurves\Itamar\N_cal_25ppm_acid_laurel.2019_08_21_15_23_49.cal</v>
      </c>
      <c r="G423">
        <v>1</v>
      </c>
      <c r="H423" t="str">
        <f>""</f>
        <v/>
      </c>
      <c r="I423" t="str">
        <f>"8/22/2019 10:25:37 AM"</f>
        <v>8/22/2019 10:25:37 AM</v>
      </c>
      <c r="J423" t="str">
        <f>"1"</f>
        <v>1</v>
      </c>
      <c r="K423" t="str">
        <f>"3"</f>
        <v>3</v>
      </c>
      <c r="L423" t="str">
        <f>"TN"</f>
        <v>TN</v>
      </c>
      <c r="M423" t="str">
        <f>"0.8578"</f>
        <v>0.8578</v>
      </c>
      <c r="N423" t="str">
        <f>"0.3897"</f>
        <v>0.3897</v>
      </c>
      <c r="O423" t="str">
        <f>"NPOC:2.645mg/L TN:0.1544mg/L"</f>
        <v>NPOC:2.645mg/L TN:0.1544mg/L</v>
      </c>
      <c r="P423">
        <v>1</v>
      </c>
      <c r="Q423" t="str">
        <f>"80"</f>
        <v>80</v>
      </c>
    </row>
    <row r="424" spans="1:17" x14ac:dyDescent="0.2">
      <c r="A424" t="str">
        <f>"Unknown"</f>
        <v>Unknown</v>
      </c>
      <c r="B424" t="str">
        <f>"NPOC/TN"</f>
        <v>NPOC/TN</v>
      </c>
      <c r="C424" t="str">
        <f>"1105"</f>
        <v>1105</v>
      </c>
      <c r="D424" t="str">
        <f>"DI"</f>
        <v>DI</v>
      </c>
      <c r="E424" t="str">
        <f>"C:\TOC3201\Methods\Itamar\acid_sample.met"</f>
        <v>C:\TOC3201\Methods\Itamar\acid_sample.met</v>
      </c>
      <c r="F424" t="str">
        <f>"C:\TOC3201\CalCurves\Itamar\N_cal_25ppm_acid_laurel.2019_08_21_15_23_49.cal"</f>
        <v>C:\TOC3201\CalCurves\Itamar\N_cal_25ppm_acid_laurel.2019_08_21_15_23_49.cal</v>
      </c>
      <c r="G424">
        <v>1</v>
      </c>
      <c r="H424" t="str">
        <f>""</f>
        <v/>
      </c>
      <c r="I424" t="str">
        <f>"8/22/2019 10:28:50 AM"</f>
        <v>8/22/2019 10:28:50 AM</v>
      </c>
      <c r="J424" t="str">
        <f>"1"</f>
        <v>1</v>
      </c>
      <c r="K424" t="str">
        <f>"4"</f>
        <v>4</v>
      </c>
      <c r="L424" t="str">
        <f>"TN"</f>
        <v>TN</v>
      </c>
      <c r="M424" t="str">
        <f>"0.000"</f>
        <v>0.000</v>
      </c>
      <c r="N424" t="str">
        <f>"0.1544"</f>
        <v>0.1544</v>
      </c>
      <c r="O424" t="str">
        <f>"NPOC:2.645mg/L TN:0.1544mg/L"</f>
        <v>NPOC:2.645mg/L TN:0.1544mg/L</v>
      </c>
      <c r="P424">
        <v>0</v>
      </c>
      <c r="Q424" t="str">
        <f>"80"</f>
        <v>80</v>
      </c>
    </row>
    <row r="425" spans="1:17" x14ac:dyDescent="0.2">
      <c r="A425" t="str">
        <f>"Unknown"</f>
        <v>Unknown</v>
      </c>
      <c r="B425" t="str">
        <f>"NPOC/TN"</f>
        <v>NPOC/TN</v>
      </c>
      <c r="C425" t="str">
        <f>"1107"</f>
        <v>1107</v>
      </c>
      <c r="D425" t="str">
        <f>"DI"</f>
        <v>DI</v>
      </c>
      <c r="E425" t="str">
        <f>"C:\TOC3201\Methods\Itamar\acid_sample.met"</f>
        <v>C:\TOC3201\Methods\Itamar\acid_sample.met</v>
      </c>
      <c r="F425" t="str">
        <f>"C:\TOC3201\CalCurves\Itamar\C_cal_100ppm_acid_laurel.2019_08_21_13_17_46.cal"</f>
        <v>C:\TOC3201\CalCurves\Itamar\C_cal_100ppm_acid_laurel.2019_08_21_13_17_46.cal</v>
      </c>
      <c r="G425">
        <v>1</v>
      </c>
      <c r="H425" t="str">
        <f>""</f>
        <v/>
      </c>
      <c r="I425" t="str">
        <f>"8/22/2019 10:38:23 AM"</f>
        <v>8/22/2019 10:38:23 AM</v>
      </c>
      <c r="J425" t="str">
        <f>"1"</f>
        <v>1</v>
      </c>
      <c r="K425" t="str">
        <f>"1"</f>
        <v>1</v>
      </c>
      <c r="L425" t="str">
        <f>"NPOC"</f>
        <v>NPOC</v>
      </c>
      <c r="M425" t="str">
        <f>"13.18"</f>
        <v>13.18</v>
      </c>
      <c r="N425" t="str">
        <f>"2.370"</f>
        <v>2.370</v>
      </c>
      <c r="O425" t="str">
        <f>"NPOC:2.364mg/L TN:0.1544mg/L"</f>
        <v>NPOC:2.364mg/L TN:0.1544mg/L</v>
      </c>
      <c r="P425">
        <v>0</v>
      </c>
      <c r="Q425" t="str">
        <f>"80"</f>
        <v>80</v>
      </c>
    </row>
    <row r="426" spans="1:17" x14ac:dyDescent="0.2">
      <c r="A426" t="str">
        <f>"Unknown"</f>
        <v>Unknown</v>
      </c>
      <c r="B426" t="str">
        <f>"NPOC/TN"</f>
        <v>NPOC/TN</v>
      </c>
      <c r="C426" t="str">
        <f>"1107"</f>
        <v>1107</v>
      </c>
      <c r="D426" t="str">
        <f>"DI"</f>
        <v>DI</v>
      </c>
      <c r="E426" t="str">
        <f>"C:\TOC3201\Methods\Itamar\acid_sample.met"</f>
        <v>C:\TOC3201\Methods\Itamar\acid_sample.met</v>
      </c>
      <c r="F426" t="str">
        <f>"C:\TOC3201\CalCurves\Itamar\C_cal_100ppm_acid_laurel.2019_08_21_13_17_46.cal"</f>
        <v>C:\TOC3201\CalCurves\Itamar\C_cal_100ppm_acid_laurel.2019_08_21_13_17_46.cal</v>
      </c>
      <c r="G426">
        <v>1</v>
      </c>
      <c r="H426" t="str">
        <f>""</f>
        <v/>
      </c>
      <c r="I426" t="str">
        <f>"8/22/2019 10:41:19 AM"</f>
        <v>8/22/2019 10:41:19 AM</v>
      </c>
      <c r="J426" t="str">
        <f>"1"</f>
        <v>1</v>
      </c>
      <c r="K426" t="str">
        <f>"2"</f>
        <v>2</v>
      </c>
      <c r="L426" t="str">
        <f>"NPOC"</f>
        <v>NPOC</v>
      </c>
      <c r="M426" t="str">
        <f>"13.10"</f>
        <v>13.10</v>
      </c>
      <c r="N426" t="str">
        <f>"2.354"</f>
        <v>2.354</v>
      </c>
      <c r="O426" t="str">
        <f>"NPOC:2.364mg/L TN:0.1544mg/L"</f>
        <v>NPOC:2.364mg/L TN:0.1544mg/L</v>
      </c>
      <c r="P426">
        <v>0</v>
      </c>
      <c r="Q426" t="str">
        <f>"80"</f>
        <v>80</v>
      </c>
    </row>
    <row r="427" spans="1:17" x14ac:dyDescent="0.2">
      <c r="A427" t="str">
        <f>"Unknown"</f>
        <v>Unknown</v>
      </c>
      <c r="B427" t="str">
        <f>"NPOC/TN"</f>
        <v>NPOC/TN</v>
      </c>
      <c r="C427" t="str">
        <f>"1107"</f>
        <v>1107</v>
      </c>
      <c r="D427" t="str">
        <f>"DI"</f>
        <v>DI</v>
      </c>
      <c r="E427" t="str">
        <f>"C:\TOC3201\Methods\Itamar\acid_sample.met"</f>
        <v>C:\TOC3201\Methods\Itamar\acid_sample.met</v>
      </c>
      <c r="F427" t="str">
        <f>"C:\TOC3201\CalCurves\Itamar\C_cal_100ppm_acid_laurel.2019_08_21_13_17_46.cal"</f>
        <v>C:\TOC3201\CalCurves\Itamar\C_cal_100ppm_acid_laurel.2019_08_21_13_17_46.cal</v>
      </c>
      <c r="G427">
        <v>1</v>
      </c>
      <c r="H427" t="str">
        <f>""</f>
        <v/>
      </c>
      <c r="I427" t="str">
        <f>"8/22/2019 10:44:22 AM"</f>
        <v>8/22/2019 10:44:22 AM</v>
      </c>
      <c r="J427" t="str">
        <f>"1"</f>
        <v>1</v>
      </c>
      <c r="K427" t="str">
        <f>"3"</f>
        <v>3</v>
      </c>
      <c r="L427" t="str">
        <f>"NPOC"</f>
        <v>NPOC</v>
      </c>
      <c r="M427" t="str">
        <f>"13.90"</f>
        <v>13.90</v>
      </c>
      <c r="N427" t="str">
        <f>"2.517"</f>
        <v>2.517</v>
      </c>
      <c r="O427" t="str">
        <f>"NPOC:2.364mg/L TN:0.1544mg/L"</f>
        <v>NPOC:2.364mg/L TN:0.1544mg/L</v>
      </c>
      <c r="P427">
        <v>1</v>
      </c>
      <c r="Q427" t="str">
        <f>"80"</f>
        <v>80</v>
      </c>
    </row>
    <row r="428" spans="1:17" x14ac:dyDescent="0.2">
      <c r="A428" t="str">
        <f>"Unknown"</f>
        <v>Unknown</v>
      </c>
      <c r="B428" t="str">
        <f>"NPOC/TN"</f>
        <v>NPOC/TN</v>
      </c>
      <c r="C428" t="str">
        <f>"1107"</f>
        <v>1107</v>
      </c>
      <c r="D428" t="str">
        <f>"DI"</f>
        <v>DI</v>
      </c>
      <c r="E428" t="str">
        <f>"C:\TOC3201\Methods\Itamar\acid_sample.met"</f>
        <v>C:\TOC3201\Methods\Itamar\acid_sample.met</v>
      </c>
      <c r="F428" t="str">
        <f>"C:\TOC3201\CalCurves\Itamar\C_cal_100ppm_acid_laurel.2019_08_21_13_17_46.cal"</f>
        <v>C:\TOC3201\CalCurves\Itamar\C_cal_100ppm_acid_laurel.2019_08_21_13_17_46.cal</v>
      </c>
      <c r="G428">
        <v>1</v>
      </c>
      <c r="H428" t="str">
        <f>""</f>
        <v/>
      </c>
      <c r="I428" t="str">
        <f>"8/22/2019 10:47:24 AM"</f>
        <v>8/22/2019 10:47:24 AM</v>
      </c>
      <c r="J428" t="str">
        <f>"1"</f>
        <v>1</v>
      </c>
      <c r="K428" t="str">
        <f>"4"</f>
        <v>4</v>
      </c>
      <c r="L428" t="str">
        <f>"NPOC"</f>
        <v>NPOC</v>
      </c>
      <c r="M428" t="str">
        <f>"13.76"</f>
        <v>13.76</v>
      </c>
      <c r="N428" t="str">
        <f>"2.488"</f>
        <v>2.488</v>
      </c>
      <c r="O428" t="str">
        <f>"NPOC:2.364mg/L TN:0.1544mg/L"</f>
        <v>NPOC:2.364mg/L TN:0.1544mg/L</v>
      </c>
      <c r="P428">
        <v>1</v>
      </c>
      <c r="Q428" t="str">
        <f>"80"</f>
        <v>80</v>
      </c>
    </row>
    <row r="429" spans="1:17" x14ac:dyDescent="0.2">
      <c r="A429" t="str">
        <f>"Unknown"</f>
        <v>Unknown</v>
      </c>
      <c r="B429" t="str">
        <f>"NPOC/TN"</f>
        <v>NPOC/TN</v>
      </c>
      <c r="C429" t="str">
        <f>"1107"</f>
        <v>1107</v>
      </c>
      <c r="D429" t="str">
        <f>"DI"</f>
        <v>DI</v>
      </c>
      <c r="E429" t="str">
        <f>"C:\TOC3201\Methods\Itamar\acid_sample.met"</f>
        <v>C:\TOC3201\Methods\Itamar\acid_sample.met</v>
      </c>
      <c r="F429" t="str">
        <f>"C:\TOC3201\CalCurves\Itamar\C_cal_100ppm_acid_laurel.2019_08_21_13_17_46.cal"</f>
        <v>C:\TOC3201\CalCurves\Itamar\C_cal_100ppm_acid_laurel.2019_08_21_13_17_46.cal</v>
      </c>
      <c r="G429">
        <v>1</v>
      </c>
      <c r="H429" t="str">
        <f>""</f>
        <v/>
      </c>
      <c r="I429" t="str">
        <f>"8/22/2019 10:50:27 AM"</f>
        <v>8/22/2019 10:50:27 AM</v>
      </c>
      <c r="J429" t="str">
        <f>"1"</f>
        <v>1</v>
      </c>
      <c r="K429" t="str">
        <f>"5"</f>
        <v>5</v>
      </c>
      <c r="L429" t="str">
        <f>"NPOC"</f>
        <v>NPOC</v>
      </c>
      <c r="M429" t="str">
        <f>"13.18"</f>
        <v>13.18</v>
      </c>
      <c r="N429" t="str">
        <f>"2.370"</f>
        <v>2.370</v>
      </c>
      <c r="O429" t="str">
        <f>"NPOC:2.364mg/L TN:0.1544mg/L"</f>
        <v>NPOC:2.364mg/L TN:0.1544mg/L</v>
      </c>
      <c r="P429">
        <v>0</v>
      </c>
      <c r="Q429" t="str">
        <f>"80"</f>
        <v>80</v>
      </c>
    </row>
    <row r="430" spans="1:17" x14ac:dyDescent="0.2">
      <c r="A430" t="str">
        <f>"Unknown"</f>
        <v>Unknown</v>
      </c>
      <c r="B430" t="str">
        <f>"NPOC/TN"</f>
        <v>NPOC/TN</v>
      </c>
      <c r="C430" t="str">
        <f>"1107"</f>
        <v>1107</v>
      </c>
      <c r="D430" t="str">
        <f>"DI"</f>
        <v>DI</v>
      </c>
      <c r="E430" t="str">
        <f>"C:\TOC3201\Methods\Itamar\acid_sample.met"</f>
        <v>C:\TOC3201\Methods\Itamar\acid_sample.met</v>
      </c>
      <c r="F430" t="str">
        <f>"C:\TOC3201\CalCurves\Itamar\N_cal_25ppm_acid_laurel.2019_08_21_15_23_49.cal"</f>
        <v>C:\TOC3201\CalCurves\Itamar\N_cal_25ppm_acid_laurel.2019_08_21_15_23_49.cal</v>
      </c>
      <c r="G430">
        <v>1</v>
      </c>
      <c r="H430" t="str">
        <f>""</f>
        <v/>
      </c>
      <c r="I430" t="str">
        <f>"8/22/2019 10:38:23 AM"</f>
        <v>8/22/2019 10:38:23 AM</v>
      </c>
      <c r="J430" t="str">
        <f>"1"</f>
        <v>1</v>
      </c>
      <c r="K430" t="str">
        <f>"1"</f>
        <v>1</v>
      </c>
      <c r="L430" t="str">
        <f>"TN"</f>
        <v>TN</v>
      </c>
      <c r="M430" t="str">
        <f>"0.000"</f>
        <v>0.000</v>
      </c>
      <c r="N430" t="str">
        <f>"0.1544"</f>
        <v>0.1544</v>
      </c>
      <c r="O430" t="str">
        <f>"NPOC:2.364mg/L TN:0.1544mg/L"</f>
        <v>NPOC:2.364mg/L TN:0.1544mg/L</v>
      </c>
      <c r="P430">
        <v>0</v>
      </c>
      <c r="Q430" t="str">
        <f>"80"</f>
        <v>80</v>
      </c>
    </row>
    <row r="431" spans="1:17" x14ac:dyDescent="0.2">
      <c r="A431" t="str">
        <f>"Unknown"</f>
        <v>Unknown</v>
      </c>
      <c r="B431" t="str">
        <f>"NPOC/TN"</f>
        <v>NPOC/TN</v>
      </c>
      <c r="C431" t="str">
        <f>"1107"</f>
        <v>1107</v>
      </c>
      <c r="D431" t="str">
        <f>"DI"</f>
        <v>DI</v>
      </c>
      <c r="E431" t="str">
        <f>"C:\TOC3201\Methods\Itamar\acid_sample.met"</f>
        <v>C:\TOC3201\Methods\Itamar\acid_sample.met</v>
      </c>
      <c r="F431" t="str">
        <f>"C:\TOC3201\CalCurves\Itamar\N_cal_25ppm_acid_laurel.2019_08_21_15_23_49.cal"</f>
        <v>C:\TOC3201\CalCurves\Itamar\N_cal_25ppm_acid_laurel.2019_08_21_15_23_49.cal</v>
      </c>
      <c r="G431">
        <v>1</v>
      </c>
      <c r="H431" t="str">
        <f>""</f>
        <v/>
      </c>
      <c r="I431" t="str">
        <f>"8/22/2019 10:41:19 AM"</f>
        <v>8/22/2019 10:41:19 AM</v>
      </c>
      <c r="J431" t="str">
        <f>"1"</f>
        <v>1</v>
      </c>
      <c r="K431" t="str">
        <f>"2"</f>
        <v>2</v>
      </c>
      <c r="L431" t="str">
        <f>"TN"</f>
        <v>TN</v>
      </c>
      <c r="M431" t="str">
        <f>"0.000"</f>
        <v>0.000</v>
      </c>
      <c r="N431" t="str">
        <f>"0.1544"</f>
        <v>0.1544</v>
      </c>
      <c r="O431" t="str">
        <f>"NPOC:2.364mg/L TN:0.1544mg/L"</f>
        <v>NPOC:2.364mg/L TN:0.1544mg/L</v>
      </c>
      <c r="P431">
        <v>0</v>
      </c>
      <c r="Q431" t="str">
        <f>"80"</f>
        <v>80</v>
      </c>
    </row>
    <row r="432" spans="1:17" x14ac:dyDescent="0.2">
      <c r="A432" t="str">
        <f>"Unknown"</f>
        <v>Unknown</v>
      </c>
      <c r="B432" t="str">
        <f>"NPOC/TN"</f>
        <v>NPOC/TN</v>
      </c>
      <c r="C432" t="str">
        <f>"1107"</f>
        <v>1107</v>
      </c>
      <c r="D432" t="str">
        <f>"DI"</f>
        <v>DI</v>
      </c>
      <c r="E432" t="str">
        <f>"C:\TOC3201\Methods\Itamar\acid_sample.met"</f>
        <v>C:\TOC3201\Methods\Itamar\acid_sample.met</v>
      </c>
      <c r="F432" t="str">
        <f>"C:\TOC3201\CalCurves\Itamar\N_cal_25ppm_acid_laurel.2019_08_21_15_23_49.cal"</f>
        <v>C:\TOC3201\CalCurves\Itamar\N_cal_25ppm_acid_laurel.2019_08_21_15_23_49.cal</v>
      </c>
      <c r="G432">
        <v>1</v>
      </c>
      <c r="H432" t="str">
        <f>""</f>
        <v/>
      </c>
      <c r="I432" t="str">
        <f>"8/22/2019 10:44:22 AM"</f>
        <v>8/22/2019 10:44:22 AM</v>
      </c>
      <c r="J432" t="str">
        <f>"1"</f>
        <v>1</v>
      </c>
      <c r="K432" t="str">
        <f>"3"</f>
        <v>3</v>
      </c>
      <c r="L432" t="str">
        <f>"TN"</f>
        <v>TN</v>
      </c>
      <c r="M432" t="str">
        <f>"0.000"</f>
        <v>0.000</v>
      </c>
      <c r="N432" t="str">
        <f>"0.1544"</f>
        <v>0.1544</v>
      </c>
      <c r="O432" t="str">
        <f>"NPOC:2.364mg/L TN:0.1544mg/L"</f>
        <v>NPOC:2.364mg/L TN:0.1544mg/L</v>
      </c>
      <c r="P432">
        <v>0</v>
      </c>
      <c r="Q432" t="str">
        <f>"80"</f>
        <v>80</v>
      </c>
    </row>
    <row r="433" spans="1:17" x14ac:dyDescent="0.2">
      <c r="A433" t="str">
        <f>"Unknown"</f>
        <v>Unknown</v>
      </c>
      <c r="B433" t="str">
        <f>"NPOC/TN"</f>
        <v>NPOC/TN</v>
      </c>
      <c r="C433" t="str">
        <f>"1109"</f>
        <v>1109</v>
      </c>
      <c r="D433" t="str">
        <f>"DI"</f>
        <v>DI</v>
      </c>
      <c r="E433" t="str">
        <f>"C:\TOC3201\Methods\Itamar\acid_sample.met"</f>
        <v>C:\TOC3201\Methods\Itamar\acid_sample.met</v>
      </c>
      <c r="F433" t="str">
        <f>"C:\TOC3201\CalCurves\Itamar\C_cal_100ppm_acid_laurel.2019_08_21_13_17_46.cal"</f>
        <v>C:\TOC3201\CalCurves\Itamar\C_cal_100ppm_acid_laurel.2019_08_21_13_17_46.cal</v>
      </c>
      <c r="G433">
        <v>1</v>
      </c>
      <c r="H433" t="str">
        <f>""</f>
        <v/>
      </c>
      <c r="I433" t="str">
        <f>"8/22/2019 10:59:54 AM"</f>
        <v>8/22/2019 10:59:54 AM</v>
      </c>
      <c r="J433" t="str">
        <f>"1"</f>
        <v>1</v>
      </c>
      <c r="K433" t="str">
        <f>"1"</f>
        <v>1</v>
      </c>
      <c r="L433" t="str">
        <f>"NPOC"</f>
        <v>NPOC</v>
      </c>
      <c r="M433" t="str">
        <f>"11.90"</f>
        <v>11.90</v>
      </c>
      <c r="N433" t="str">
        <f>"2.108"</f>
        <v>2.108</v>
      </c>
      <c r="O433" t="str">
        <f>"NPOC:2.082mg/L TN:0.7641mg/L"</f>
        <v>NPOC:2.082mg/L TN:0.7641mg/L</v>
      </c>
      <c r="P433">
        <v>0</v>
      </c>
      <c r="Q433" t="str">
        <f>"80"</f>
        <v>80</v>
      </c>
    </row>
    <row r="434" spans="1:17" x14ac:dyDescent="0.2">
      <c r="A434" t="str">
        <f>"Unknown"</f>
        <v>Unknown</v>
      </c>
      <c r="B434" t="str">
        <f>"NPOC/TN"</f>
        <v>NPOC/TN</v>
      </c>
      <c r="C434" t="str">
        <f>"1109"</f>
        <v>1109</v>
      </c>
      <c r="D434" t="str">
        <f>"DI"</f>
        <v>DI</v>
      </c>
      <c r="E434" t="str">
        <f>"C:\TOC3201\Methods\Itamar\acid_sample.met"</f>
        <v>C:\TOC3201\Methods\Itamar\acid_sample.met</v>
      </c>
      <c r="F434" t="str">
        <f>"C:\TOC3201\CalCurves\Itamar\C_cal_100ppm_acid_laurel.2019_08_21_13_17_46.cal"</f>
        <v>C:\TOC3201\CalCurves\Itamar\C_cal_100ppm_acid_laurel.2019_08_21_13_17_46.cal</v>
      </c>
      <c r="G434">
        <v>1</v>
      </c>
      <c r="H434" t="str">
        <f>""</f>
        <v/>
      </c>
      <c r="I434" t="str">
        <f>"8/22/2019 11:03:10 AM"</f>
        <v>8/22/2019 11:03:10 AM</v>
      </c>
      <c r="J434" t="str">
        <f>"1"</f>
        <v>1</v>
      </c>
      <c r="K434" t="str">
        <f>"2"</f>
        <v>2</v>
      </c>
      <c r="L434" t="str">
        <f>"NPOC"</f>
        <v>NPOC</v>
      </c>
      <c r="M434" t="str">
        <f>"11.60"</f>
        <v>11.60</v>
      </c>
      <c r="N434" t="str">
        <f>"2.047"</f>
        <v>2.047</v>
      </c>
      <c r="O434" t="str">
        <f>"NPOC:2.082mg/L TN:0.7641mg/L"</f>
        <v>NPOC:2.082mg/L TN:0.7641mg/L</v>
      </c>
      <c r="P434">
        <v>0</v>
      </c>
      <c r="Q434" t="str">
        <f>"80"</f>
        <v>80</v>
      </c>
    </row>
    <row r="435" spans="1:17" x14ac:dyDescent="0.2">
      <c r="A435" t="str">
        <f>"Unknown"</f>
        <v>Unknown</v>
      </c>
      <c r="B435" t="str">
        <f>"NPOC/TN"</f>
        <v>NPOC/TN</v>
      </c>
      <c r="C435" t="str">
        <f>"1109"</f>
        <v>1109</v>
      </c>
      <c r="D435" t="str">
        <f>"DI"</f>
        <v>DI</v>
      </c>
      <c r="E435" t="str">
        <f>"C:\TOC3201\Methods\Itamar\acid_sample.met"</f>
        <v>C:\TOC3201\Methods\Itamar\acid_sample.met</v>
      </c>
      <c r="F435" t="str">
        <f>"C:\TOC3201\CalCurves\Itamar\C_cal_100ppm_acid_laurel.2019_08_21_13_17_46.cal"</f>
        <v>C:\TOC3201\CalCurves\Itamar\C_cal_100ppm_acid_laurel.2019_08_21_13_17_46.cal</v>
      </c>
      <c r="G435">
        <v>1</v>
      </c>
      <c r="H435" t="str">
        <f>""</f>
        <v/>
      </c>
      <c r="I435" t="str">
        <f>"8/22/2019 11:06:14 AM"</f>
        <v>8/22/2019 11:06:14 AM</v>
      </c>
      <c r="J435" t="str">
        <f>"1"</f>
        <v>1</v>
      </c>
      <c r="K435" t="str">
        <f>"3"</f>
        <v>3</v>
      </c>
      <c r="L435" t="str">
        <f>"NPOC"</f>
        <v>NPOC</v>
      </c>
      <c r="M435" t="str">
        <f>"12.55"</f>
        <v>12.55</v>
      </c>
      <c r="N435" t="str">
        <f>"2.241"</f>
        <v>2.241</v>
      </c>
      <c r="O435" t="str">
        <f>"NPOC:2.082mg/L TN:0.7641mg/L"</f>
        <v>NPOC:2.082mg/L TN:0.7641mg/L</v>
      </c>
      <c r="P435">
        <v>1</v>
      </c>
      <c r="Q435" t="str">
        <f>"80"</f>
        <v>80</v>
      </c>
    </row>
    <row r="436" spans="1:17" x14ac:dyDescent="0.2">
      <c r="A436" t="str">
        <f>"Unknown"</f>
        <v>Unknown</v>
      </c>
      <c r="B436" t="str">
        <f>"NPOC/TN"</f>
        <v>NPOC/TN</v>
      </c>
      <c r="C436" t="str">
        <f>"1109"</f>
        <v>1109</v>
      </c>
      <c r="D436" t="str">
        <f>"DI"</f>
        <v>DI</v>
      </c>
      <c r="E436" t="str">
        <f>"C:\TOC3201\Methods\Itamar\acid_sample.met"</f>
        <v>C:\TOC3201\Methods\Itamar\acid_sample.met</v>
      </c>
      <c r="F436" t="str">
        <f>"C:\TOC3201\CalCurves\Itamar\C_cal_100ppm_acid_laurel.2019_08_21_13_17_46.cal"</f>
        <v>C:\TOC3201\CalCurves\Itamar\C_cal_100ppm_acid_laurel.2019_08_21_13_17_46.cal</v>
      </c>
      <c r="G436">
        <v>1</v>
      </c>
      <c r="H436" t="str">
        <f>""</f>
        <v/>
      </c>
      <c r="I436" t="str">
        <f>"8/22/2019 11:09:18 AM"</f>
        <v>8/22/2019 11:09:18 AM</v>
      </c>
      <c r="J436" t="str">
        <f>"1"</f>
        <v>1</v>
      </c>
      <c r="K436" t="str">
        <f>"4"</f>
        <v>4</v>
      </c>
      <c r="L436" t="str">
        <f>"NPOC"</f>
        <v>NPOC</v>
      </c>
      <c r="M436" t="str">
        <f>"12.40"</f>
        <v>12.40</v>
      </c>
      <c r="N436" t="str">
        <f>"2.210"</f>
        <v>2.210</v>
      </c>
      <c r="O436" t="str">
        <f>"NPOC:2.082mg/L TN:0.7641mg/L"</f>
        <v>NPOC:2.082mg/L TN:0.7641mg/L</v>
      </c>
      <c r="P436">
        <v>1</v>
      </c>
      <c r="Q436" t="str">
        <f>"80"</f>
        <v>80</v>
      </c>
    </row>
    <row r="437" spans="1:17" x14ac:dyDescent="0.2">
      <c r="A437" t="str">
        <f>"Unknown"</f>
        <v>Unknown</v>
      </c>
      <c r="B437" t="str">
        <f>"NPOC/TN"</f>
        <v>NPOC/TN</v>
      </c>
      <c r="C437" t="str">
        <f>"1109"</f>
        <v>1109</v>
      </c>
      <c r="D437" t="str">
        <f>"DI"</f>
        <v>DI</v>
      </c>
      <c r="E437" t="str">
        <f>"C:\TOC3201\Methods\Itamar\acid_sample.met"</f>
        <v>C:\TOC3201\Methods\Itamar\acid_sample.met</v>
      </c>
      <c r="F437" t="str">
        <f>"C:\TOC3201\CalCurves\Itamar\C_cal_100ppm_acid_laurel.2019_08_21_13_17_46.cal"</f>
        <v>C:\TOC3201\CalCurves\Itamar\C_cal_100ppm_acid_laurel.2019_08_21_13_17_46.cal</v>
      </c>
      <c r="G437">
        <v>1</v>
      </c>
      <c r="H437" t="str">
        <f>""</f>
        <v/>
      </c>
      <c r="I437" t="str">
        <f>"8/22/2019 11:12:17 AM"</f>
        <v>8/22/2019 11:12:17 AM</v>
      </c>
      <c r="J437" t="str">
        <f>"1"</f>
        <v>1</v>
      </c>
      <c r="K437" t="str">
        <f>"5"</f>
        <v>5</v>
      </c>
      <c r="L437" t="str">
        <f>"NPOC"</f>
        <v>NPOC</v>
      </c>
      <c r="M437" t="str">
        <f>"11.81"</f>
        <v>11.81</v>
      </c>
      <c r="N437" t="str">
        <f>"2.090"</f>
        <v>2.090</v>
      </c>
      <c r="O437" t="str">
        <f>"NPOC:2.082mg/L TN:0.7641mg/L"</f>
        <v>NPOC:2.082mg/L TN:0.7641mg/L</v>
      </c>
      <c r="P437">
        <v>0</v>
      </c>
      <c r="Q437" t="str">
        <f>"80"</f>
        <v>80</v>
      </c>
    </row>
    <row r="438" spans="1:17" x14ac:dyDescent="0.2">
      <c r="A438" t="str">
        <f>"Unknown"</f>
        <v>Unknown</v>
      </c>
      <c r="B438" t="str">
        <f>"NPOC/TN"</f>
        <v>NPOC/TN</v>
      </c>
      <c r="C438" t="str">
        <f>"1109"</f>
        <v>1109</v>
      </c>
      <c r="D438" t="str">
        <f>"DI"</f>
        <v>DI</v>
      </c>
      <c r="E438" t="str">
        <f>"C:\TOC3201\Methods\Itamar\acid_sample.met"</f>
        <v>C:\TOC3201\Methods\Itamar\acid_sample.met</v>
      </c>
      <c r="F438" t="str">
        <f>"C:\TOC3201\CalCurves\Itamar\N_cal_25ppm_acid_laurel.2019_08_21_15_23_49.cal"</f>
        <v>C:\TOC3201\CalCurves\Itamar\N_cal_25ppm_acid_laurel.2019_08_21_15_23_49.cal</v>
      </c>
      <c r="G438">
        <v>1</v>
      </c>
      <c r="H438" t="str">
        <f>""</f>
        <v/>
      </c>
      <c r="I438" t="str">
        <f>"8/22/2019 10:59:54 AM"</f>
        <v>8/22/2019 10:59:54 AM</v>
      </c>
      <c r="J438" t="str">
        <f>"1"</f>
        <v>1</v>
      </c>
      <c r="K438" t="str">
        <f>"1"</f>
        <v>1</v>
      </c>
      <c r="L438" t="str">
        <f>"TN"</f>
        <v>TN</v>
      </c>
      <c r="M438" t="str">
        <f>"1.951"</f>
        <v>1.951</v>
      </c>
      <c r="N438" t="str">
        <f>"0.6895"</f>
        <v>0.6895</v>
      </c>
      <c r="O438" t="str">
        <f>"NPOC:2.082mg/L TN:0.7641mg/L"</f>
        <v>NPOC:2.082mg/L TN:0.7641mg/L</v>
      </c>
      <c r="P438">
        <v>1</v>
      </c>
      <c r="Q438" t="str">
        <f>"80"</f>
        <v>80</v>
      </c>
    </row>
    <row r="439" spans="1:17" x14ac:dyDescent="0.2">
      <c r="A439" t="str">
        <f>"Unknown"</f>
        <v>Unknown</v>
      </c>
      <c r="B439" t="str">
        <f>"NPOC/TN"</f>
        <v>NPOC/TN</v>
      </c>
      <c r="C439" t="str">
        <f>"1109"</f>
        <v>1109</v>
      </c>
      <c r="D439" t="str">
        <f>"DI"</f>
        <v>DI</v>
      </c>
      <c r="E439" t="str">
        <f>"C:\TOC3201\Methods\Itamar\acid_sample.met"</f>
        <v>C:\TOC3201\Methods\Itamar\acid_sample.met</v>
      </c>
      <c r="F439" t="str">
        <f>"C:\TOC3201\CalCurves\Itamar\N_cal_25ppm_acid_laurel.2019_08_21_15_23_49.cal"</f>
        <v>C:\TOC3201\CalCurves\Itamar\N_cal_25ppm_acid_laurel.2019_08_21_15_23_49.cal</v>
      </c>
      <c r="G439">
        <v>1</v>
      </c>
      <c r="H439" t="str">
        <f>""</f>
        <v/>
      </c>
      <c r="I439" t="str">
        <f>"8/22/2019 11:03:10 AM"</f>
        <v>8/22/2019 11:03:10 AM</v>
      </c>
      <c r="J439" t="str">
        <f>"1"</f>
        <v>1</v>
      </c>
      <c r="K439" t="str">
        <f>"2"</f>
        <v>2</v>
      </c>
      <c r="L439" t="str">
        <f>"TN"</f>
        <v>TN</v>
      </c>
      <c r="M439" t="str">
        <f>"2.300"</f>
        <v>2.300</v>
      </c>
      <c r="N439" t="str">
        <f>"0.7852"</f>
        <v>0.7852</v>
      </c>
      <c r="O439" t="str">
        <f>"NPOC:2.082mg/L TN:0.7641mg/L"</f>
        <v>NPOC:2.082mg/L TN:0.7641mg/L</v>
      </c>
      <c r="P439">
        <v>0</v>
      </c>
      <c r="Q439" t="str">
        <f>"80"</f>
        <v>80</v>
      </c>
    </row>
    <row r="440" spans="1:17" x14ac:dyDescent="0.2">
      <c r="A440" t="str">
        <f>"Unknown"</f>
        <v>Unknown</v>
      </c>
      <c r="B440" t="str">
        <f>"NPOC/TN"</f>
        <v>NPOC/TN</v>
      </c>
      <c r="C440" t="str">
        <f>"1109"</f>
        <v>1109</v>
      </c>
      <c r="D440" t="str">
        <f>"DI"</f>
        <v>DI</v>
      </c>
      <c r="E440" t="str">
        <f>"C:\TOC3201\Methods\Itamar\acid_sample.met"</f>
        <v>C:\TOC3201\Methods\Itamar\acid_sample.met</v>
      </c>
      <c r="F440" t="str">
        <f>"C:\TOC3201\CalCurves\Itamar\N_cal_25ppm_acid_laurel.2019_08_21_15_23_49.cal"</f>
        <v>C:\TOC3201\CalCurves\Itamar\N_cal_25ppm_acid_laurel.2019_08_21_15_23_49.cal</v>
      </c>
      <c r="G440">
        <v>1</v>
      </c>
      <c r="H440" t="str">
        <f>""</f>
        <v/>
      </c>
      <c r="I440" t="str">
        <f>"8/22/2019 11:06:14 AM"</f>
        <v>8/22/2019 11:06:14 AM</v>
      </c>
      <c r="J440" t="str">
        <f>"1"</f>
        <v>1</v>
      </c>
      <c r="K440" t="str">
        <f>"3"</f>
        <v>3</v>
      </c>
      <c r="L440" t="str">
        <f>"TN"</f>
        <v>TN</v>
      </c>
      <c r="M440" t="str">
        <f>"1.860"</f>
        <v>1.860</v>
      </c>
      <c r="N440" t="str">
        <f>"0.6645"</f>
        <v>0.6645</v>
      </c>
      <c r="O440" t="str">
        <f>"NPOC:2.082mg/L TN:0.7641mg/L"</f>
        <v>NPOC:2.082mg/L TN:0.7641mg/L</v>
      </c>
      <c r="P440">
        <v>1</v>
      </c>
      <c r="Q440" t="str">
        <f>"80"</f>
        <v>80</v>
      </c>
    </row>
    <row r="441" spans="1:17" x14ac:dyDescent="0.2">
      <c r="A441" t="str">
        <f>"Unknown"</f>
        <v>Unknown</v>
      </c>
      <c r="B441" t="str">
        <f>"NPOC/TN"</f>
        <v>NPOC/TN</v>
      </c>
      <c r="C441" t="str">
        <f>"1109"</f>
        <v>1109</v>
      </c>
      <c r="D441" t="str">
        <f>"DI"</f>
        <v>DI</v>
      </c>
      <c r="E441" t="str">
        <f>"C:\TOC3201\Methods\Itamar\acid_sample.met"</f>
        <v>C:\TOC3201\Methods\Itamar\acid_sample.met</v>
      </c>
      <c r="F441" t="str">
        <f>"C:\TOC3201\CalCurves\Itamar\N_cal_25ppm_acid_laurel.2019_08_21_15_23_49.cal"</f>
        <v>C:\TOC3201\CalCurves\Itamar\N_cal_25ppm_acid_laurel.2019_08_21_15_23_49.cal</v>
      </c>
      <c r="G441">
        <v>1</v>
      </c>
      <c r="H441" t="str">
        <f>""</f>
        <v/>
      </c>
      <c r="I441" t="str">
        <f>"8/22/2019 11:09:18 AM"</f>
        <v>8/22/2019 11:09:18 AM</v>
      </c>
      <c r="J441" t="str">
        <f>"1"</f>
        <v>1</v>
      </c>
      <c r="K441" t="str">
        <f>"4"</f>
        <v>4</v>
      </c>
      <c r="L441" t="str">
        <f>"TN"</f>
        <v>TN</v>
      </c>
      <c r="M441" t="str">
        <f>"2.268"</f>
        <v>2.268</v>
      </c>
      <c r="N441" t="str">
        <f>"0.7764"</f>
        <v>0.7764</v>
      </c>
      <c r="O441" t="str">
        <f>"NPOC:2.082mg/L TN:0.7641mg/L"</f>
        <v>NPOC:2.082mg/L TN:0.7641mg/L</v>
      </c>
      <c r="P441">
        <v>0</v>
      </c>
      <c r="Q441" t="str">
        <f>"80"</f>
        <v>80</v>
      </c>
    </row>
    <row r="442" spans="1:17" x14ac:dyDescent="0.2">
      <c r="A442" t="str">
        <f>"Unknown"</f>
        <v>Unknown</v>
      </c>
      <c r="B442" t="str">
        <f>"NPOC/TN"</f>
        <v>NPOC/TN</v>
      </c>
      <c r="C442" t="str">
        <f>"1109"</f>
        <v>1109</v>
      </c>
      <c r="D442" t="str">
        <f>"DI"</f>
        <v>DI</v>
      </c>
      <c r="E442" t="str">
        <f>"C:\TOC3201\Methods\Itamar\acid_sample.met"</f>
        <v>C:\TOC3201\Methods\Itamar\acid_sample.met</v>
      </c>
      <c r="F442" t="str">
        <f>"C:\TOC3201\CalCurves\Itamar\N_cal_25ppm_acid_laurel.2019_08_21_15_23_49.cal"</f>
        <v>C:\TOC3201\CalCurves\Itamar\N_cal_25ppm_acid_laurel.2019_08_21_15_23_49.cal</v>
      </c>
      <c r="G442">
        <v>1</v>
      </c>
      <c r="H442" t="str">
        <f>""</f>
        <v/>
      </c>
      <c r="I442" t="str">
        <f>"8/22/2019 11:12:17 AM"</f>
        <v>8/22/2019 11:12:17 AM</v>
      </c>
      <c r="J442" t="str">
        <f>"1"</f>
        <v>1</v>
      </c>
      <c r="K442" t="str">
        <f>"5"</f>
        <v>5</v>
      </c>
      <c r="L442" t="str">
        <f>"TN"</f>
        <v>TN</v>
      </c>
      <c r="M442" t="str">
        <f>"2.101"</f>
        <v>2.101</v>
      </c>
      <c r="N442" t="str">
        <f>"0.7306"</f>
        <v>0.7306</v>
      </c>
      <c r="O442" t="str">
        <f>"NPOC:2.082mg/L TN:0.7641mg/L"</f>
        <v>NPOC:2.082mg/L TN:0.7641mg/L</v>
      </c>
      <c r="P442">
        <v>0</v>
      </c>
      <c r="Q442" t="str">
        <f>"80"</f>
        <v>80</v>
      </c>
    </row>
    <row r="443" spans="1:17" x14ac:dyDescent="0.2">
      <c r="A443" t="str">
        <f>"Unknown"</f>
        <v>Unknown</v>
      </c>
      <c r="B443" t="str">
        <f>"NPOC/TN"</f>
        <v>NPOC/TN</v>
      </c>
      <c r="C443" t="str">
        <f>"1111"</f>
        <v>1111</v>
      </c>
      <c r="D443" t="str">
        <f>"DI"</f>
        <v>DI</v>
      </c>
      <c r="E443" t="str">
        <f>"C:\TOC3201\Methods\Itamar\acid_sample.met"</f>
        <v>C:\TOC3201\Methods\Itamar\acid_sample.met</v>
      </c>
      <c r="F443" t="str">
        <f>"C:\TOC3201\CalCurves\Itamar\C_cal_100ppm_acid_laurel.2019_08_21_13_17_46.cal"</f>
        <v>C:\TOC3201\CalCurves\Itamar\C_cal_100ppm_acid_laurel.2019_08_21_13_17_46.cal</v>
      </c>
      <c r="G443">
        <v>1</v>
      </c>
      <c r="H443" t="str">
        <f>""</f>
        <v/>
      </c>
      <c r="I443" t="str">
        <f>"8/22/2019 11:21:51 AM"</f>
        <v>8/22/2019 11:21:51 AM</v>
      </c>
      <c r="J443" t="str">
        <f>"1"</f>
        <v>1</v>
      </c>
      <c r="K443" t="str">
        <f>"1"</f>
        <v>1</v>
      </c>
      <c r="L443" t="str">
        <f>"NPOC"</f>
        <v>NPOC</v>
      </c>
      <c r="M443" t="str">
        <f>"17.54"</f>
        <v>17.54</v>
      </c>
      <c r="N443" t="str">
        <f>"3.261"</f>
        <v>3.261</v>
      </c>
      <c r="O443" t="str">
        <f>"NPOC:3.309mg/L TN:0.6340mg/L"</f>
        <v>NPOC:3.309mg/L TN:0.6340mg/L</v>
      </c>
      <c r="P443">
        <v>0</v>
      </c>
      <c r="Q443" t="str">
        <f>"80"</f>
        <v>80</v>
      </c>
    </row>
    <row r="444" spans="1:17" x14ac:dyDescent="0.2">
      <c r="A444" t="str">
        <f>"Unknown"</f>
        <v>Unknown</v>
      </c>
      <c r="B444" t="str">
        <f>"NPOC/TN"</f>
        <v>NPOC/TN</v>
      </c>
      <c r="C444" t="str">
        <f>"1111"</f>
        <v>1111</v>
      </c>
      <c r="D444" t="str">
        <f>"DI"</f>
        <v>DI</v>
      </c>
      <c r="E444" t="str">
        <f>"C:\TOC3201\Methods\Itamar\acid_sample.met"</f>
        <v>C:\TOC3201\Methods\Itamar\acid_sample.met</v>
      </c>
      <c r="F444" t="str">
        <f>"C:\TOC3201\CalCurves\Itamar\C_cal_100ppm_acid_laurel.2019_08_21_13_17_46.cal"</f>
        <v>C:\TOC3201\CalCurves\Itamar\C_cal_100ppm_acid_laurel.2019_08_21_13_17_46.cal</v>
      </c>
      <c r="G444">
        <v>1</v>
      </c>
      <c r="H444" t="str">
        <f>""</f>
        <v/>
      </c>
      <c r="I444" t="str">
        <f>"8/22/2019 11:25:05 AM"</f>
        <v>8/22/2019 11:25:05 AM</v>
      </c>
      <c r="J444" t="str">
        <f>"1"</f>
        <v>1</v>
      </c>
      <c r="K444" t="str">
        <f>"2"</f>
        <v>2</v>
      </c>
      <c r="L444" t="str">
        <f>"NPOC"</f>
        <v>NPOC</v>
      </c>
      <c r="M444" t="str">
        <f>"17.69"</f>
        <v>17.69</v>
      </c>
      <c r="N444" t="str">
        <f>"3.292"</f>
        <v>3.292</v>
      </c>
      <c r="O444" t="str">
        <f>"NPOC:3.309mg/L TN:0.6340mg/L"</f>
        <v>NPOC:3.309mg/L TN:0.6340mg/L</v>
      </c>
      <c r="P444">
        <v>0</v>
      </c>
      <c r="Q444" t="str">
        <f>"80"</f>
        <v>80</v>
      </c>
    </row>
    <row r="445" spans="1:17" x14ac:dyDescent="0.2">
      <c r="A445" t="str">
        <f>"Unknown"</f>
        <v>Unknown</v>
      </c>
      <c r="B445" t="str">
        <f>"NPOC/TN"</f>
        <v>NPOC/TN</v>
      </c>
      <c r="C445" t="str">
        <f>"1111"</f>
        <v>1111</v>
      </c>
      <c r="D445" t="str">
        <f>"DI"</f>
        <v>DI</v>
      </c>
      <c r="E445" t="str">
        <f>"C:\TOC3201\Methods\Itamar\acid_sample.met"</f>
        <v>C:\TOC3201\Methods\Itamar\acid_sample.met</v>
      </c>
      <c r="F445" t="str">
        <f>"C:\TOC3201\CalCurves\Itamar\C_cal_100ppm_acid_laurel.2019_08_21_13_17_46.cal"</f>
        <v>C:\TOC3201\CalCurves\Itamar\C_cal_100ppm_acid_laurel.2019_08_21_13_17_46.cal</v>
      </c>
      <c r="G445">
        <v>1</v>
      </c>
      <c r="H445" t="str">
        <f>""</f>
        <v/>
      </c>
      <c r="I445" t="str">
        <f>"8/22/2019 11:28:11 AM"</f>
        <v>8/22/2019 11:28:11 AM</v>
      </c>
      <c r="J445" t="str">
        <f>"1"</f>
        <v>1</v>
      </c>
      <c r="K445" t="str">
        <f>"3"</f>
        <v>3</v>
      </c>
      <c r="L445" t="str">
        <f>"NPOC"</f>
        <v>NPOC</v>
      </c>
      <c r="M445" t="str">
        <f>"18.28"</f>
        <v>18.28</v>
      </c>
      <c r="N445" t="str">
        <f>"3.413"</f>
        <v>3.413</v>
      </c>
      <c r="O445" t="str">
        <f>"NPOC:3.309mg/L TN:0.6340mg/L"</f>
        <v>NPOC:3.309mg/L TN:0.6340mg/L</v>
      </c>
      <c r="P445">
        <v>1</v>
      </c>
      <c r="Q445" t="str">
        <f>"80"</f>
        <v>80</v>
      </c>
    </row>
    <row r="446" spans="1:17" x14ac:dyDescent="0.2">
      <c r="A446" t="str">
        <f>"Unknown"</f>
        <v>Unknown</v>
      </c>
      <c r="B446" t="str">
        <f>"NPOC/TN"</f>
        <v>NPOC/TN</v>
      </c>
      <c r="C446" t="str">
        <f>"1111"</f>
        <v>1111</v>
      </c>
      <c r="D446" t="str">
        <f>"DI"</f>
        <v>DI</v>
      </c>
      <c r="E446" t="str">
        <f>"C:\TOC3201\Methods\Itamar\acid_sample.met"</f>
        <v>C:\TOC3201\Methods\Itamar\acid_sample.met</v>
      </c>
      <c r="F446" t="str">
        <f>"C:\TOC3201\CalCurves\Itamar\C_cal_100ppm_acid_laurel.2019_08_21_13_17_46.cal"</f>
        <v>C:\TOC3201\CalCurves\Itamar\C_cal_100ppm_acid_laurel.2019_08_21_13_17_46.cal</v>
      </c>
      <c r="G446">
        <v>1</v>
      </c>
      <c r="H446" t="str">
        <f>""</f>
        <v/>
      </c>
      <c r="I446" t="str">
        <f>"8/22/2019 11:31:25 AM"</f>
        <v>8/22/2019 11:31:25 AM</v>
      </c>
      <c r="J446" t="str">
        <f>"1"</f>
        <v>1</v>
      </c>
      <c r="K446" t="str">
        <f>"4"</f>
        <v>4</v>
      </c>
      <c r="L446" t="str">
        <f>"NPOC"</f>
        <v>NPOC</v>
      </c>
      <c r="M446" t="str">
        <f>"18.09"</f>
        <v>18.09</v>
      </c>
      <c r="N446" t="str">
        <f>"3.374"</f>
        <v>3.374</v>
      </c>
      <c r="O446" t="str">
        <f>"NPOC:3.309mg/L TN:0.6340mg/L"</f>
        <v>NPOC:3.309mg/L TN:0.6340mg/L</v>
      </c>
      <c r="P446">
        <v>0</v>
      </c>
      <c r="Q446" t="str">
        <f>"80"</f>
        <v>80</v>
      </c>
    </row>
    <row r="447" spans="1:17" x14ac:dyDescent="0.2">
      <c r="A447" t="str">
        <f>"Unknown"</f>
        <v>Unknown</v>
      </c>
      <c r="B447" t="str">
        <f>"NPOC/TN"</f>
        <v>NPOC/TN</v>
      </c>
      <c r="C447" t="str">
        <f>"1111"</f>
        <v>1111</v>
      </c>
      <c r="D447" t="str">
        <f>"DI"</f>
        <v>DI</v>
      </c>
      <c r="E447" t="str">
        <f>"C:\TOC3201\Methods\Itamar\acid_sample.met"</f>
        <v>C:\TOC3201\Methods\Itamar\acid_sample.met</v>
      </c>
      <c r="F447" t="str">
        <f>"C:\TOC3201\CalCurves\Itamar\N_cal_25ppm_acid_laurel.2019_08_21_15_23_49.cal"</f>
        <v>C:\TOC3201\CalCurves\Itamar\N_cal_25ppm_acid_laurel.2019_08_21_15_23_49.cal</v>
      </c>
      <c r="G447">
        <v>1</v>
      </c>
      <c r="H447" t="str">
        <f>""</f>
        <v/>
      </c>
      <c r="I447" t="str">
        <f>"8/22/2019 11:21:51 AM"</f>
        <v>8/22/2019 11:21:51 AM</v>
      </c>
      <c r="J447" t="str">
        <f>"1"</f>
        <v>1</v>
      </c>
      <c r="K447" t="str">
        <f>"1"</f>
        <v>1</v>
      </c>
      <c r="L447" t="str">
        <f>"TN"</f>
        <v>TN</v>
      </c>
      <c r="M447" t="str">
        <f>"1.821"</f>
        <v>1.821</v>
      </c>
      <c r="N447" t="str">
        <f>"0.6538"</f>
        <v>0.6538</v>
      </c>
      <c r="O447" t="str">
        <f>"NPOC:3.309mg/L TN:0.6340mg/L"</f>
        <v>NPOC:3.309mg/L TN:0.6340mg/L</v>
      </c>
      <c r="P447">
        <v>0</v>
      </c>
      <c r="Q447" t="str">
        <f>"80"</f>
        <v>80</v>
      </c>
    </row>
    <row r="448" spans="1:17" x14ac:dyDescent="0.2">
      <c r="A448" t="str">
        <f>"Unknown"</f>
        <v>Unknown</v>
      </c>
      <c r="B448" t="str">
        <f>"NPOC/TN"</f>
        <v>NPOC/TN</v>
      </c>
      <c r="C448" t="str">
        <f>"1111"</f>
        <v>1111</v>
      </c>
      <c r="D448" t="str">
        <f>"DI"</f>
        <v>DI</v>
      </c>
      <c r="E448" t="str">
        <f>"C:\TOC3201\Methods\Itamar\acid_sample.met"</f>
        <v>C:\TOC3201\Methods\Itamar\acid_sample.met</v>
      </c>
      <c r="F448" t="str">
        <f>"C:\TOC3201\CalCurves\Itamar\N_cal_25ppm_acid_laurel.2019_08_21_15_23_49.cal"</f>
        <v>C:\TOC3201\CalCurves\Itamar\N_cal_25ppm_acid_laurel.2019_08_21_15_23_49.cal</v>
      </c>
      <c r="G448">
        <v>1</v>
      </c>
      <c r="H448" t="str">
        <f>""</f>
        <v/>
      </c>
      <c r="I448" t="str">
        <f>"8/22/2019 11:25:05 AM"</f>
        <v>8/22/2019 11:25:05 AM</v>
      </c>
      <c r="J448" t="str">
        <f>"1"</f>
        <v>1</v>
      </c>
      <c r="K448" t="str">
        <f>"2"</f>
        <v>2</v>
      </c>
      <c r="L448" t="str">
        <f>"TN"</f>
        <v>TN</v>
      </c>
      <c r="M448" t="str">
        <f>"1.724"</f>
        <v>1.724</v>
      </c>
      <c r="N448" t="str">
        <f>"0.6272"</f>
        <v>0.6272</v>
      </c>
      <c r="O448" t="str">
        <f>"NPOC:3.309mg/L TN:0.6340mg/L"</f>
        <v>NPOC:3.309mg/L TN:0.6340mg/L</v>
      </c>
      <c r="P448">
        <v>0</v>
      </c>
      <c r="Q448" t="str">
        <f>"80"</f>
        <v>80</v>
      </c>
    </row>
    <row r="449" spans="1:17" x14ac:dyDescent="0.2">
      <c r="A449" t="str">
        <f>"Unknown"</f>
        <v>Unknown</v>
      </c>
      <c r="B449" t="str">
        <f>"NPOC/TN"</f>
        <v>NPOC/TN</v>
      </c>
      <c r="C449" t="str">
        <f>"1111"</f>
        <v>1111</v>
      </c>
      <c r="D449" t="str">
        <f>"DI"</f>
        <v>DI</v>
      </c>
      <c r="E449" t="str">
        <f>"C:\TOC3201\Methods\Itamar\acid_sample.met"</f>
        <v>C:\TOC3201\Methods\Itamar\acid_sample.met</v>
      </c>
      <c r="F449" t="str">
        <f>"C:\TOC3201\CalCurves\Itamar\N_cal_25ppm_acid_laurel.2019_08_21_15_23_49.cal"</f>
        <v>C:\TOC3201\CalCurves\Itamar\N_cal_25ppm_acid_laurel.2019_08_21_15_23_49.cal</v>
      </c>
      <c r="G449">
        <v>1</v>
      </c>
      <c r="H449" t="str">
        <f>""</f>
        <v/>
      </c>
      <c r="I449" t="str">
        <f>"8/22/2019 11:28:11 AM"</f>
        <v>8/22/2019 11:28:11 AM</v>
      </c>
      <c r="J449" t="str">
        <f>"1"</f>
        <v>1</v>
      </c>
      <c r="K449" t="str">
        <f>"3"</f>
        <v>3</v>
      </c>
      <c r="L449" t="str">
        <f>"TN"</f>
        <v>TN</v>
      </c>
      <c r="M449" t="str">
        <f>"1.701"</f>
        <v>1.701</v>
      </c>
      <c r="N449" t="str">
        <f>"0.6209"</f>
        <v>0.6209</v>
      </c>
      <c r="O449" t="str">
        <f>"NPOC:3.309mg/L TN:0.6340mg/L"</f>
        <v>NPOC:3.309mg/L TN:0.6340mg/L</v>
      </c>
      <c r="P449">
        <v>0</v>
      </c>
      <c r="Q449" t="str">
        <f>"80"</f>
        <v>80</v>
      </c>
    </row>
    <row r="450" spans="1:17" x14ac:dyDescent="0.2">
      <c r="A450" t="str">
        <f>"Unknown"</f>
        <v>Unknown</v>
      </c>
      <c r="B450" t="str">
        <f>"NPOC/TN"</f>
        <v>NPOC/TN</v>
      </c>
      <c r="C450" t="str">
        <f>"1113"</f>
        <v>1113</v>
      </c>
      <c r="D450" t="str">
        <f>"DI"</f>
        <v>DI</v>
      </c>
      <c r="E450" t="str">
        <f>"C:\TOC3201\Methods\Itamar\acid_sample.met"</f>
        <v>C:\TOC3201\Methods\Itamar\acid_sample.met</v>
      </c>
      <c r="F450" t="str">
        <f>"C:\TOC3201\CalCurves\Itamar\C_cal_100ppm_acid_laurel.2019_08_21_13_17_46.cal"</f>
        <v>C:\TOC3201\CalCurves\Itamar\C_cal_100ppm_acid_laurel.2019_08_21_13_17_46.cal</v>
      </c>
      <c r="G450">
        <v>1</v>
      </c>
      <c r="H450" t="str">
        <f>""</f>
        <v/>
      </c>
      <c r="I450" t="str">
        <f>"8/22/2019 11:41:05 AM"</f>
        <v>8/22/2019 11:41:05 AM</v>
      </c>
      <c r="J450" t="str">
        <f>"1"</f>
        <v>1</v>
      </c>
      <c r="K450" t="str">
        <f>"1"</f>
        <v>1</v>
      </c>
      <c r="L450" t="str">
        <f>"NPOC"</f>
        <v>NPOC</v>
      </c>
      <c r="M450" t="str">
        <f>"18.40"</f>
        <v>18.40</v>
      </c>
      <c r="N450" t="str">
        <f>"3.437"</f>
        <v>3.437</v>
      </c>
      <c r="O450" t="str">
        <f>"NPOC:3.405mg/L TN:0.6577mg/L"</f>
        <v>NPOC:3.405mg/L TN:0.6577mg/L</v>
      </c>
      <c r="P450">
        <v>0</v>
      </c>
      <c r="Q450" t="str">
        <f>"80"</f>
        <v>80</v>
      </c>
    </row>
    <row r="451" spans="1:17" x14ac:dyDescent="0.2">
      <c r="A451" t="str">
        <f>"Unknown"</f>
        <v>Unknown</v>
      </c>
      <c r="B451" t="str">
        <f>"NPOC/TN"</f>
        <v>NPOC/TN</v>
      </c>
      <c r="C451" t="str">
        <f>"1113"</f>
        <v>1113</v>
      </c>
      <c r="D451" t="str">
        <f>"DI"</f>
        <v>DI</v>
      </c>
      <c r="E451" t="str">
        <f>"C:\TOC3201\Methods\Itamar\acid_sample.met"</f>
        <v>C:\TOC3201\Methods\Itamar\acid_sample.met</v>
      </c>
      <c r="F451" t="str">
        <f>"C:\TOC3201\CalCurves\Itamar\C_cal_100ppm_acid_laurel.2019_08_21_13_17_46.cal"</f>
        <v>C:\TOC3201\CalCurves\Itamar\C_cal_100ppm_acid_laurel.2019_08_21_13_17_46.cal</v>
      </c>
      <c r="G451">
        <v>1</v>
      </c>
      <c r="H451" t="str">
        <f>""</f>
        <v/>
      </c>
      <c r="I451" t="str">
        <f>"8/22/2019 11:44:11 AM"</f>
        <v>8/22/2019 11:44:11 AM</v>
      </c>
      <c r="J451" t="str">
        <f>"1"</f>
        <v>1</v>
      </c>
      <c r="K451" t="str">
        <f>"2"</f>
        <v>2</v>
      </c>
      <c r="L451" t="str">
        <f>"NPOC"</f>
        <v>NPOC</v>
      </c>
      <c r="M451" t="str">
        <f>"18.06"</f>
        <v>18.06</v>
      </c>
      <c r="N451" t="str">
        <f>"3.368"</f>
        <v>3.368</v>
      </c>
      <c r="O451" t="str">
        <f>"NPOC:3.405mg/L TN:0.6577mg/L"</f>
        <v>NPOC:3.405mg/L TN:0.6577mg/L</v>
      </c>
      <c r="P451">
        <v>0</v>
      </c>
      <c r="Q451" t="str">
        <f>"80"</f>
        <v>80</v>
      </c>
    </row>
    <row r="452" spans="1:17" x14ac:dyDescent="0.2">
      <c r="A452" t="str">
        <f>"Unknown"</f>
        <v>Unknown</v>
      </c>
      <c r="B452" t="str">
        <f>"NPOC/TN"</f>
        <v>NPOC/TN</v>
      </c>
      <c r="C452" t="str">
        <f>"1113"</f>
        <v>1113</v>
      </c>
      <c r="D452" t="str">
        <f>"DI"</f>
        <v>DI</v>
      </c>
      <c r="E452" t="str">
        <f>"C:\TOC3201\Methods\Itamar\acid_sample.met"</f>
        <v>C:\TOC3201\Methods\Itamar\acid_sample.met</v>
      </c>
      <c r="F452" t="str">
        <f>"C:\TOC3201\CalCurves\Itamar\C_cal_100ppm_acid_laurel.2019_08_21_13_17_46.cal"</f>
        <v>C:\TOC3201\CalCurves\Itamar\C_cal_100ppm_acid_laurel.2019_08_21_13_17_46.cal</v>
      </c>
      <c r="G452">
        <v>1</v>
      </c>
      <c r="H452" t="str">
        <f>""</f>
        <v/>
      </c>
      <c r="I452" t="str">
        <f>"8/22/2019 11:47:32 AM"</f>
        <v>8/22/2019 11:47:32 AM</v>
      </c>
      <c r="J452" t="str">
        <f>"1"</f>
        <v>1</v>
      </c>
      <c r="K452" t="str">
        <f>"3"</f>
        <v>3</v>
      </c>
      <c r="L452" t="str">
        <f>"NPOC"</f>
        <v>NPOC</v>
      </c>
      <c r="M452" t="str">
        <f>"19.31"</f>
        <v>19.31</v>
      </c>
      <c r="N452" t="str">
        <f>"3.623"</f>
        <v>3.623</v>
      </c>
      <c r="O452" t="str">
        <f>"NPOC:3.405mg/L TN:0.6577mg/L"</f>
        <v>NPOC:3.405mg/L TN:0.6577mg/L</v>
      </c>
      <c r="P452">
        <v>1</v>
      </c>
      <c r="Q452" t="str">
        <f>"80"</f>
        <v>80</v>
      </c>
    </row>
    <row r="453" spans="1:17" x14ac:dyDescent="0.2">
      <c r="A453" t="str">
        <f>"Unknown"</f>
        <v>Unknown</v>
      </c>
      <c r="B453" t="str">
        <f>"NPOC/TN"</f>
        <v>NPOC/TN</v>
      </c>
      <c r="C453" t="str">
        <f>"1113"</f>
        <v>1113</v>
      </c>
      <c r="D453" t="str">
        <f>"DI"</f>
        <v>DI</v>
      </c>
      <c r="E453" t="str">
        <f>"C:\TOC3201\Methods\Itamar\acid_sample.met"</f>
        <v>C:\TOC3201\Methods\Itamar\acid_sample.met</v>
      </c>
      <c r="F453" t="str">
        <f>"C:\TOC3201\CalCurves\Itamar\C_cal_100ppm_acid_laurel.2019_08_21_13_17_46.cal"</f>
        <v>C:\TOC3201\CalCurves\Itamar\C_cal_100ppm_acid_laurel.2019_08_21_13_17_46.cal</v>
      </c>
      <c r="G453">
        <v>1</v>
      </c>
      <c r="H453" t="str">
        <f>""</f>
        <v/>
      </c>
      <c r="I453" t="str">
        <f>"8/22/2019 11:50:43 AM"</f>
        <v>8/22/2019 11:50:43 AM</v>
      </c>
      <c r="J453" t="str">
        <f>"1"</f>
        <v>1</v>
      </c>
      <c r="K453" t="str">
        <f>"4"</f>
        <v>4</v>
      </c>
      <c r="L453" t="str">
        <f>"NPOC"</f>
        <v>NPOC</v>
      </c>
      <c r="M453" t="str">
        <f>"18.94"</f>
        <v>18.94</v>
      </c>
      <c r="N453" t="str">
        <f>"3.548"</f>
        <v>3.548</v>
      </c>
      <c r="O453" t="str">
        <f>"NPOC:3.405mg/L TN:0.6577mg/L"</f>
        <v>NPOC:3.405mg/L TN:0.6577mg/L</v>
      </c>
      <c r="P453">
        <v>1</v>
      </c>
      <c r="Q453" t="str">
        <f>"80"</f>
        <v>80</v>
      </c>
    </row>
    <row r="454" spans="1:17" x14ac:dyDescent="0.2">
      <c r="A454" t="str">
        <f>"Unknown"</f>
        <v>Unknown</v>
      </c>
      <c r="B454" t="str">
        <f>"NPOC/TN"</f>
        <v>NPOC/TN</v>
      </c>
      <c r="C454" t="str">
        <f>"1113"</f>
        <v>1113</v>
      </c>
      <c r="D454" t="str">
        <f>"DI"</f>
        <v>DI</v>
      </c>
      <c r="E454" t="str">
        <f>"C:\TOC3201\Methods\Itamar\acid_sample.met"</f>
        <v>C:\TOC3201\Methods\Itamar\acid_sample.met</v>
      </c>
      <c r="F454" t="str">
        <f>"C:\TOC3201\CalCurves\Itamar\C_cal_100ppm_acid_laurel.2019_08_21_13_17_46.cal"</f>
        <v>C:\TOC3201\CalCurves\Itamar\C_cal_100ppm_acid_laurel.2019_08_21_13_17_46.cal</v>
      </c>
      <c r="G454">
        <v>1</v>
      </c>
      <c r="H454" t="str">
        <f>""</f>
        <v/>
      </c>
      <c r="I454" t="str">
        <f>"8/22/2019 11:53:54 AM"</f>
        <v>8/22/2019 11:53:54 AM</v>
      </c>
      <c r="J454" t="str">
        <f>"1"</f>
        <v>1</v>
      </c>
      <c r="K454" t="str">
        <f>"5"</f>
        <v>5</v>
      </c>
      <c r="L454" t="str">
        <f>"NPOC"</f>
        <v>NPOC</v>
      </c>
      <c r="M454" t="str">
        <f>"18.27"</f>
        <v>18.27</v>
      </c>
      <c r="N454" t="str">
        <f>"3.411"</f>
        <v>3.411</v>
      </c>
      <c r="O454" t="str">
        <f>"NPOC:3.405mg/L TN:0.6577mg/L"</f>
        <v>NPOC:3.405mg/L TN:0.6577mg/L</v>
      </c>
      <c r="P454">
        <v>0</v>
      </c>
      <c r="Q454" t="str">
        <f>"80"</f>
        <v>80</v>
      </c>
    </row>
    <row r="455" spans="1:17" x14ac:dyDescent="0.2">
      <c r="A455" t="str">
        <f>"Unknown"</f>
        <v>Unknown</v>
      </c>
      <c r="B455" t="str">
        <f>"NPOC/TN"</f>
        <v>NPOC/TN</v>
      </c>
      <c r="C455" t="str">
        <f>"1113"</f>
        <v>1113</v>
      </c>
      <c r="D455" t="str">
        <f>"DI"</f>
        <v>DI</v>
      </c>
      <c r="E455" t="str">
        <f>"C:\TOC3201\Methods\Itamar\acid_sample.met"</f>
        <v>C:\TOC3201\Methods\Itamar\acid_sample.met</v>
      </c>
      <c r="F455" t="str">
        <f>"C:\TOC3201\CalCurves\Itamar\N_cal_25ppm_acid_laurel.2019_08_21_15_23_49.cal"</f>
        <v>C:\TOC3201\CalCurves\Itamar\N_cal_25ppm_acid_laurel.2019_08_21_15_23_49.cal</v>
      </c>
      <c r="G455">
        <v>1</v>
      </c>
      <c r="H455" t="str">
        <f>""</f>
        <v/>
      </c>
      <c r="I455" t="str">
        <f>"8/22/2019 11:41:05 AM"</f>
        <v>8/22/2019 11:41:05 AM</v>
      </c>
      <c r="J455" t="str">
        <f>"1"</f>
        <v>1</v>
      </c>
      <c r="K455" t="str">
        <f>"1"</f>
        <v>1</v>
      </c>
      <c r="L455" t="str">
        <f>"TN"</f>
        <v>TN</v>
      </c>
      <c r="M455" t="str">
        <f>"1.900"</f>
        <v>1.900</v>
      </c>
      <c r="N455" t="str">
        <f>"0.6755"</f>
        <v>0.6755</v>
      </c>
      <c r="O455" t="str">
        <f>"NPOC:3.405mg/L TN:0.6577mg/L"</f>
        <v>NPOC:3.405mg/L TN:0.6577mg/L</v>
      </c>
      <c r="P455">
        <v>0</v>
      </c>
      <c r="Q455" t="str">
        <f>"80"</f>
        <v>80</v>
      </c>
    </row>
    <row r="456" spans="1:17" x14ac:dyDescent="0.2">
      <c r="A456" t="str">
        <f>"Unknown"</f>
        <v>Unknown</v>
      </c>
      <c r="B456" t="str">
        <f>"NPOC/TN"</f>
        <v>NPOC/TN</v>
      </c>
      <c r="C456" t="str">
        <f>"1113"</f>
        <v>1113</v>
      </c>
      <c r="D456" t="str">
        <f>"DI"</f>
        <v>DI</v>
      </c>
      <c r="E456" t="str">
        <f>"C:\TOC3201\Methods\Itamar\acid_sample.met"</f>
        <v>C:\TOC3201\Methods\Itamar\acid_sample.met</v>
      </c>
      <c r="F456" t="str">
        <f>"C:\TOC3201\CalCurves\Itamar\N_cal_25ppm_acid_laurel.2019_08_21_15_23_49.cal"</f>
        <v>C:\TOC3201\CalCurves\Itamar\N_cal_25ppm_acid_laurel.2019_08_21_15_23_49.cal</v>
      </c>
      <c r="G456">
        <v>1</v>
      </c>
      <c r="H456" t="str">
        <f>""</f>
        <v/>
      </c>
      <c r="I456" t="str">
        <f>"8/22/2019 11:44:11 AM"</f>
        <v>8/22/2019 11:44:11 AM</v>
      </c>
      <c r="J456" t="str">
        <f>"1"</f>
        <v>1</v>
      </c>
      <c r="K456" t="str">
        <f>"2"</f>
        <v>2</v>
      </c>
      <c r="L456" t="str">
        <f>"TN"</f>
        <v>TN</v>
      </c>
      <c r="M456" t="str">
        <f>"1.707"</f>
        <v>1.707</v>
      </c>
      <c r="N456" t="str">
        <f>"0.6226"</f>
        <v>0.6226</v>
      </c>
      <c r="O456" t="str">
        <f>"NPOC:3.405mg/L TN:0.6577mg/L"</f>
        <v>NPOC:3.405mg/L TN:0.6577mg/L</v>
      </c>
      <c r="P456">
        <v>0</v>
      </c>
      <c r="Q456" t="str">
        <f>"80"</f>
        <v>80</v>
      </c>
    </row>
    <row r="457" spans="1:17" x14ac:dyDescent="0.2">
      <c r="A457" t="str">
        <f>"Unknown"</f>
        <v>Unknown</v>
      </c>
      <c r="B457" t="str">
        <f>"NPOC/TN"</f>
        <v>NPOC/TN</v>
      </c>
      <c r="C457" t="str">
        <f>"1113"</f>
        <v>1113</v>
      </c>
      <c r="D457" t="str">
        <f>"DI"</f>
        <v>DI</v>
      </c>
      <c r="E457" t="str">
        <f>"C:\TOC3201\Methods\Itamar\acid_sample.met"</f>
        <v>C:\TOC3201\Methods\Itamar\acid_sample.met</v>
      </c>
      <c r="F457" t="str">
        <f>"C:\TOC3201\CalCurves\Itamar\N_cal_25ppm_acid_laurel.2019_08_21_15_23_49.cal"</f>
        <v>C:\TOC3201\CalCurves\Itamar\N_cal_25ppm_acid_laurel.2019_08_21_15_23_49.cal</v>
      </c>
      <c r="G457">
        <v>1</v>
      </c>
      <c r="H457" t="str">
        <f>""</f>
        <v/>
      </c>
      <c r="I457" t="str">
        <f>"8/22/2019 11:47:32 AM"</f>
        <v>8/22/2019 11:47:32 AM</v>
      </c>
      <c r="J457" t="str">
        <f>"1"</f>
        <v>1</v>
      </c>
      <c r="K457" t="str">
        <f>"3"</f>
        <v>3</v>
      </c>
      <c r="L457" t="str">
        <f>"TN"</f>
        <v>TN</v>
      </c>
      <c r="M457" t="str">
        <f>"1.480"</f>
        <v>1.480</v>
      </c>
      <c r="N457" t="str">
        <f>"0.5603"</f>
        <v>0.5603</v>
      </c>
      <c r="O457" t="str">
        <f>"NPOC:3.405mg/L TN:0.6577mg/L"</f>
        <v>NPOC:3.405mg/L TN:0.6577mg/L</v>
      </c>
      <c r="P457">
        <v>1</v>
      </c>
      <c r="Q457" t="str">
        <f>"80"</f>
        <v>80</v>
      </c>
    </row>
    <row r="458" spans="1:17" x14ac:dyDescent="0.2">
      <c r="A458" t="str">
        <f>"Unknown"</f>
        <v>Unknown</v>
      </c>
      <c r="B458" t="str">
        <f>"NPOC/TN"</f>
        <v>NPOC/TN</v>
      </c>
      <c r="C458" t="str">
        <f>"1113"</f>
        <v>1113</v>
      </c>
      <c r="D458" t="str">
        <f>"DI"</f>
        <v>DI</v>
      </c>
      <c r="E458" t="str">
        <f>"C:\TOC3201\Methods\Itamar\acid_sample.met"</f>
        <v>C:\TOC3201\Methods\Itamar\acid_sample.met</v>
      </c>
      <c r="F458" t="str">
        <f>"C:\TOC3201\CalCurves\Itamar\N_cal_25ppm_acid_laurel.2019_08_21_15_23_49.cal"</f>
        <v>C:\TOC3201\CalCurves\Itamar\N_cal_25ppm_acid_laurel.2019_08_21_15_23_49.cal</v>
      </c>
      <c r="G458">
        <v>1</v>
      </c>
      <c r="H458" t="str">
        <f>""</f>
        <v/>
      </c>
      <c r="I458" t="str">
        <f>"8/22/2019 11:50:43 AM"</f>
        <v>8/22/2019 11:50:43 AM</v>
      </c>
      <c r="J458" t="str">
        <f>"1"</f>
        <v>1</v>
      </c>
      <c r="K458" t="str">
        <f>"4"</f>
        <v>4</v>
      </c>
      <c r="L458" t="str">
        <f>"TN"</f>
        <v>TN</v>
      </c>
      <c r="M458" t="str">
        <f>"1.898"</f>
        <v>1.898</v>
      </c>
      <c r="N458" t="str">
        <f>"0.6749"</f>
        <v>0.6749</v>
      </c>
      <c r="O458" t="str">
        <f>"NPOC:3.405mg/L TN:0.6577mg/L"</f>
        <v>NPOC:3.405mg/L TN:0.6577mg/L</v>
      </c>
      <c r="P458">
        <v>0</v>
      </c>
      <c r="Q458" t="str">
        <f>"80"</f>
        <v>80</v>
      </c>
    </row>
    <row r="459" spans="1:17" x14ac:dyDescent="0.2">
      <c r="A459" t="str">
        <f>"Unknown"</f>
        <v>Unknown</v>
      </c>
      <c r="B459" t="str">
        <f>"NPOC/TN"</f>
        <v>NPOC/TN</v>
      </c>
      <c r="C459" t="str">
        <f>"1113"</f>
        <v>1113</v>
      </c>
      <c r="D459" t="str">
        <f>"DI"</f>
        <v>DI</v>
      </c>
      <c r="E459" t="str">
        <f>"C:\TOC3201\Methods\Itamar\acid_sample.met"</f>
        <v>C:\TOC3201\Methods\Itamar\acid_sample.met</v>
      </c>
      <c r="F459" t="str">
        <f>"C:\TOC3201\CalCurves\Itamar\N_cal_25ppm_acid_laurel.2019_08_21_15_23_49.cal"</f>
        <v>C:\TOC3201\CalCurves\Itamar\N_cal_25ppm_acid_laurel.2019_08_21_15_23_49.cal</v>
      </c>
      <c r="G459">
        <v>1</v>
      </c>
      <c r="H459" t="str">
        <f>""</f>
        <v/>
      </c>
      <c r="I459" t="str">
        <f>"8/22/2019 11:53:54 AM"</f>
        <v>8/22/2019 11:53:54 AM</v>
      </c>
      <c r="J459" t="str">
        <f>"1"</f>
        <v>1</v>
      </c>
      <c r="K459" t="str">
        <f>"5"</f>
        <v>5</v>
      </c>
      <c r="L459" t="str">
        <f>"TN"</f>
        <v>TN</v>
      </c>
      <c r="M459" t="str">
        <f>"2.255"</f>
        <v>2.255</v>
      </c>
      <c r="N459" t="str">
        <f>"0.7729"</f>
        <v>0.7729</v>
      </c>
      <c r="O459" t="str">
        <f>"NPOC:3.405mg/L TN:0.6577mg/L"</f>
        <v>NPOC:3.405mg/L TN:0.6577mg/L</v>
      </c>
      <c r="P459">
        <v>1</v>
      </c>
      <c r="Q459" t="str">
        <f>"80"</f>
        <v>80</v>
      </c>
    </row>
    <row r="460" spans="1:17" x14ac:dyDescent="0.2">
      <c r="A460" t="str">
        <f>"Unknown"</f>
        <v>Unknown</v>
      </c>
      <c r="B460" t="str">
        <f>"NPOC/TN"</f>
        <v>NPOC/TN</v>
      </c>
      <c r="C460" t="str">
        <f>"1115"</f>
        <v>1115</v>
      </c>
      <c r="D460" t="str">
        <f>"DI"</f>
        <v>DI</v>
      </c>
      <c r="E460" t="str">
        <f>"C:\TOC3201\Methods\Itamar\acid_sample.met"</f>
        <v>C:\TOC3201\Methods\Itamar\acid_sample.met</v>
      </c>
      <c r="F460" t="str">
        <f>"C:\TOC3201\CalCurves\Itamar\C_cal_100ppm_acid_laurel.2019_08_21_13_17_46.cal"</f>
        <v>C:\TOC3201\CalCurves\Itamar\C_cal_100ppm_acid_laurel.2019_08_21_13_17_46.cal</v>
      </c>
      <c r="G460">
        <v>1</v>
      </c>
      <c r="H460" t="str">
        <f>""</f>
        <v/>
      </c>
      <c r="I460" t="str">
        <f>"8/22/2019 12:03:32 PM"</f>
        <v>8/22/2019 12:03:32 PM</v>
      </c>
      <c r="J460" t="str">
        <f>"1"</f>
        <v>1</v>
      </c>
      <c r="K460" t="str">
        <f>"1"</f>
        <v>1</v>
      </c>
      <c r="L460" t="str">
        <f>"NPOC"</f>
        <v>NPOC</v>
      </c>
      <c r="M460" t="str">
        <f>"17.07"</f>
        <v>17.07</v>
      </c>
      <c r="N460" t="str">
        <f>"3.165"</f>
        <v>3.165</v>
      </c>
      <c r="O460" t="str">
        <f>"NPOC:3.193mg/L TN:0.6315mg/L"</f>
        <v>NPOC:3.193mg/L TN:0.6315mg/L</v>
      </c>
      <c r="P460">
        <v>0</v>
      </c>
      <c r="Q460" t="str">
        <f>"80"</f>
        <v>80</v>
      </c>
    </row>
    <row r="461" spans="1:17" x14ac:dyDescent="0.2">
      <c r="A461" t="str">
        <f>"Unknown"</f>
        <v>Unknown</v>
      </c>
      <c r="B461" t="str">
        <f>"NPOC/TN"</f>
        <v>NPOC/TN</v>
      </c>
      <c r="C461" t="str">
        <f>"1115"</f>
        <v>1115</v>
      </c>
      <c r="D461" t="str">
        <f>"DI"</f>
        <v>DI</v>
      </c>
      <c r="E461" t="str">
        <f>"C:\TOC3201\Methods\Itamar\acid_sample.met"</f>
        <v>C:\TOC3201\Methods\Itamar\acid_sample.met</v>
      </c>
      <c r="F461" t="str">
        <f>"C:\TOC3201\CalCurves\Itamar\C_cal_100ppm_acid_laurel.2019_08_21_13_17_46.cal"</f>
        <v>C:\TOC3201\CalCurves\Itamar\C_cal_100ppm_acid_laurel.2019_08_21_13_17_46.cal</v>
      </c>
      <c r="G461">
        <v>1</v>
      </c>
      <c r="H461" t="str">
        <f>""</f>
        <v/>
      </c>
      <c r="I461" t="str">
        <f>"8/22/2019 12:06:43 PM"</f>
        <v>8/22/2019 12:06:43 PM</v>
      </c>
      <c r="J461" t="str">
        <f>"1"</f>
        <v>1</v>
      </c>
      <c r="K461" t="str">
        <f>"2"</f>
        <v>2</v>
      </c>
      <c r="L461" t="str">
        <f>"NPOC"</f>
        <v>NPOC</v>
      </c>
      <c r="M461" t="str">
        <f>"16.96"</f>
        <v>16.96</v>
      </c>
      <c r="N461" t="str">
        <f>"3.143"</f>
        <v>3.143</v>
      </c>
      <c r="O461" t="str">
        <f>"NPOC:3.193mg/L TN:0.6315mg/L"</f>
        <v>NPOC:3.193mg/L TN:0.6315mg/L</v>
      </c>
      <c r="P461">
        <v>0</v>
      </c>
      <c r="Q461" t="str">
        <f>"80"</f>
        <v>80</v>
      </c>
    </row>
    <row r="462" spans="1:17" x14ac:dyDescent="0.2">
      <c r="A462" t="str">
        <f>"Unknown"</f>
        <v>Unknown</v>
      </c>
      <c r="B462" t="str">
        <f>"NPOC/TN"</f>
        <v>NPOC/TN</v>
      </c>
      <c r="C462" t="str">
        <f>"1115"</f>
        <v>1115</v>
      </c>
      <c r="D462" t="str">
        <f>"DI"</f>
        <v>DI</v>
      </c>
      <c r="E462" t="str">
        <f>"C:\TOC3201\Methods\Itamar\acid_sample.met"</f>
        <v>C:\TOC3201\Methods\Itamar\acid_sample.met</v>
      </c>
      <c r="F462" t="str">
        <f>"C:\TOC3201\CalCurves\Itamar\C_cal_100ppm_acid_laurel.2019_08_21_13_17_46.cal"</f>
        <v>C:\TOC3201\CalCurves\Itamar\C_cal_100ppm_acid_laurel.2019_08_21_13_17_46.cal</v>
      </c>
      <c r="G462">
        <v>1</v>
      </c>
      <c r="H462" t="str">
        <f>""</f>
        <v/>
      </c>
      <c r="I462" t="str">
        <f>"8/22/2019 12:09:53 PM"</f>
        <v>8/22/2019 12:09:53 PM</v>
      </c>
      <c r="J462" t="str">
        <f>"1"</f>
        <v>1</v>
      </c>
      <c r="K462" t="str">
        <f>"3"</f>
        <v>3</v>
      </c>
      <c r="L462" t="str">
        <f>"NPOC"</f>
        <v>NPOC</v>
      </c>
      <c r="M462" t="str">
        <f>"17.59"</f>
        <v>17.59</v>
      </c>
      <c r="N462" t="str">
        <f>"3.272"</f>
        <v>3.272</v>
      </c>
      <c r="O462" t="str">
        <f>"NPOC:3.193mg/L TN:0.6315mg/L"</f>
        <v>NPOC:3.193mg/L TN:0.6315mg/L</v>
      </c>
      <c r="P462">
        <v>0</v>
      </c>
      <c r="Q462" t="str">
        <f>"80"</f>
        <v>80</v>
      </c>
    </row>
    <row r="463" spans="1:17" x14ac:dyDescent="0.2">
      <c r="A463" t="str">
        <f>"Unknown"</f>
        <v>Unknown</v>
      </c>
      <c r="B463" t="str">
        <f>"NPOC/TN"</f>
        <v>NPOC/TN</v>
      </c>
      <c r="C463" t="str">
        <f>"1115"</f>
        <v>1115</v>
      </c>
      <c r="D463" t="str">
        <f>"DI"</f>
        <v>DI</v>
      </c>
      <c r="E463" t="str">
        <f>"C:\TOC3201\Methods\Itamar\acid_sample.met"</f>
        <v>C:\TOC3201\Methods\Itamar\acid_sample.met</v>
      </c>
      <c r="F463" t="str">
        <f>"C:\TOC3201\CalCurves\Itamar\N_cal_25ppm_acid_laurel.2019_08_21_15_23_49.cal"</f>
        <v>C:\TOC3201\CalCurves\Itamar\N_cal_25ppm_acid_laurel.2019_08_21_15_23_49.cal</v>
      </c>
      <c r="G463">
        <v>1</v>
      </c>
      <c r="H463" t="str">
        <f>""</f>
        <v/>
      </c>
      <c r="I463" t="str">
        <f>"8/22/2019 12:03:32 PM"</f>
        <v>8/22/2019 12:03:32 PM</v>
      </c>
      <c r="J463" t="str">
        <f>"1"</f>
        <v>1</v>
      </c>
      <c r="K463" t="str">
        <f>"1"</f>
        <v>1</v>
      </c>
      <c r="L463" t="str">
        <f>"TN"</f>
        <v>TN</v>
      </c>
      <c r="M463" t="str">
        <f>"1.428"</f>
        <v>1.428</v>
      </c>
      <c r="N463" t="str">
        <f>"0.5460"</f>
        <v>0.5460</v>
      </c>
      <c r="O463" t="str">
        <f>"NPOC:3.193mg/L TN:0.6315mg/L"</f>
        <v>NPOC:3.193mg/L TN:0.6315mg/L</v>
      </c>
      <c r="P463">
        <v>1</v>
      </c>
      <c r="Q463" t="str">
        <f>"80"</f>
        <v>80</v>
      </c>
    </row>
    <row r="464" spans="1:17" x14ac:dyDescent="0.2">
      <c r="A464" t="str">
        <f>"Unknown"</f>
        <v>Unknown</v>
      </c>
      <c r="B464" t="str">
        <f>"NPOC/TN"</f>
        <v>NPOC/TN</v>
      </c>
      <c r="C464" t="str">
        <f>"1115"</f>
        <v>1115</v>
      </c>
      <c r="D464" t="str">
        <f>"DI"</f>
        <v>DI</v>
      </c>
      <c r="E464" t="str">
        <f>"C:\TOC3201\Methods\Itamar\acid_sample.met"</f>
        <v>C:\TOC3201\Methods\Itamar\acid_sample.met</v>
      </c>
      <c r="F464" t="str">
        <f>"C:\TOC3201\CalCurves\Itamar\N_cal_25ppm_acid_laurel.2019_08_21_15_23_49.cal"</f>
        <v>C:\TOC3201\CalCurves\Itamar\N_cal_25ppm_acid_laurel.2019_08_21_15_23_49.cal</v>
      </c>
      <c r="G464">
        <v>1</v>
      </c>
      <c r="H464" t="str">
        <f>""</f>
        <v/>
      </c>
      <c r="I464" t="str">
        <f>"8/22/2019 12:06:43 PM"</f>
        <v>8/22/2019 12:06:43 PM</v>
      </c>
      <c r="J464" t="str">
        <f>"1"</f>
        <v>1</v>
      </c>
      <c r="K464" t="str">
        <f>"2"</f>
        <v>2</v>
      </c>
      <c r="L464" t="str">
        <f>"TN"</f>
        <v>TN</v>
      </c>
      <c r="M464" t="str">
        <f>"1.718"</f>
        <v>1.718</v>
      </c>
      <c r="N464" t="str">
        <f>"0.6256"</f>
        <v>0.6256</v>
      </c>
      <c r="O464" t="str">
        <f>"NPOC:3.193mg/L TN:0.6315mg/L"</f>
        <v>NPOC:3.193mg/L TN:0.6315mg/L</v>
      </c>
      <c r="P464">
        <v>0</v>
      </c>
      <c r="Q464" t="str">
        <f>"80"</f>
        <v>80</v>
      </c>
    </row>
    <row r="465" spans="1:17" x14ac:dyDescent="0.2">
      <c r="A465" t="str">
        <f>"Unknown"</f>
        <v>Unknown</v>
      </c>
      <c r="B465" t="str">
        <f>"NPOC/TN"</f>
        <v>NPOC/TN</v>
      </c>
      <c r="C465" t="str">
        <f>"1115"</f>
        <v>1115</v>
      </c>
      <c r="D465" t="str">
        <f>"DI"</f>
        <v>DI</v>
      </c>
      <c r="E465" t="str">
        <f>"C:\TOC3201\Methods\Itamar\acid_sample.met"</f>
        <v>C:\TOC3201\Methods\Itamar\acid_sample.met</v>
      </c>
      <c r="F465" t="str">
        <f>"C:\TOC3201\CalCurves\Itamar\N_cal_25ppm_acid_laurel.2019_08_21_15_23_49.cal"</f>
        <v>C:\TOC3201\CalCurves\Itamar\N_cal_25ppm_acid_laurel.2019_08_21_15_23_49.cal</v>
      </c>
      <c r="G465">
        <v>1</v>
      </c>
      <c r="H465" t="str">
        <f>""</f>
        <v/>
      </c>
      <c r="I465" t="str">
        <f>"8/22/2019 12:09:53 PM"</f>
        <v>8/22/2019 12:09:53 PM</v>
      </c>
      <c r="J465" t="str">
        <f>"1"</f>
        <v>1</v>
      </c>
      <c r="K465" t="str">
        <f>"3"</f>
        <v>3</v>
      </c>
      <c r="L465" t="str">
        <f>"TN"</f>
        <v>TN</v>
      </c>
      <c r="M465" t="str">
        <f>"1.219"</f>
        <v>1.219</v>
      </c>
      <c r="N465" t="str">
        <f>"0.4887"</f>
        <v>0.4887</v>
      </c>
      <c r="O465" t="str">
        <f>"NPOC:3.193mg/L TN:0.6315mg/L"</f>
        <v>NPOC:3.193mg/L TN:0.6315mg/L</v>
      </c>
      <c r="P465">
        <v>1</v>
      </c>
      <c r="Q465" t="str">
        <f>"80"</f>
        <v>80</v>
      </c>
    </row>
    <row r="466" spans="1:17" x14ac:dyDescent="0.2">
      <c r="A466" t="str">
        <f>"Unknown"</f>
        <v>Unknown</v>
      </c>
      <c r="B466" t="str">
        <f>"NPOC/TN"</f>
        <v>NPOC/TN</v>
      </c>
      <c r="C466" t="str">
        <f>"1115"</f>
        <v>1115</v>
      </c>
      <c r="D466" t="str">
        <f>"DI"</f>
        <v>DI</v>
      </c>
      <c r="E466" t="str">
        <f>"C:\TOC3201\Methods\Itamar\acid_sample.met"</f>
        <v>C:\TOC3201\Methods\Itamar\acid_sample.met</v>
      </c>
      <c r="F466" t="str">
        <f>"C:\TOC3201\CalCurves\Itamar\N_cal_25ppm_acid_laurel.2019_08_21_15_23_49.cal"</f>
        <v>C:\TOC3201\CalCurves\Itamar\N_cal_25ppm_acid_laurel.2019_08_21_15_23_49.cal</v>
      </c>
      <c r="G466">
        <v>1</v>
      </c>
      <c r="H466" t="str">
        <f>""</f>
        <v/>
      </c>
      <c r="I466" t="str">
        <f>"8/22/2019 12:12:48 PM"</f>
        <v>8/22/2019 12:12:48 PM</v>
      </c>
      <c r="J466" t="str">
        <f>"1"</f>
        <v>1</v>
      </c>
      <c r="K466" t="str">
        <f>"4"</f>
        <v>4</v>
      </c>
      <c r="L466" t="str">
        <f>"TN"</f>
        <v>TN</v>
      </c>
      <c r="M466" t="str">
        <f>"1.889"</f>
        <v>1.889</v>
      </c>
      <c r="N466" t="str">
        <f>"0.6725"</f>
        <v>0.6725</v>
      </c>
      <c r="O466" t="str">
        <f>"NPOC:3.193mg/L TN:0.6315mg/L"</f>
        <v>NPOC:3.193mg/L TN:0.6315mg/L</v>
      </c>
      <c r="P466">
        <v>0</v>
      </c>
      <c r="Q466" t="str">
        <f>"80"</f>
        <v>80</v>
      </c>
    </row>
    <row r="467" spans="1:17" x14ac:dyDescent="0.2">
      <c r="A467" t="str">
        <f>"Unknown"</f>
        <v>Unknown</v>
      </c>
      <c r="B467" t="str">
        <f>"NPOC/TN"</f>
        <v>NPOC/TN</v>
      </c>
      <c r="C467" t="str">
        <f>"1115"</f>
        <v>1115</v>
      </c>
      <c r="D467" t="str">
        <f>"DI"</f>
        <v>DI</v>
      </c>
      <c r="E467" t="str">
        <f>"C:\TOC3201\Methods\Itamar\acid_sample.met"</f>
        <v>C:\TOC3201\Methods\Itamar\acid_sample.met</v>
      </c>
      <c r="F467" t="str">
        <f>"C:\TOC3201\CalCurves\Itamar\N_cal_25ppm_acid_laurel.2019_08_21_15_23_49.cal"</f>
        <v>C:\TOC3201\CalCurves\Itamar\N_cal_25ppm_acid_laurel.2019_08_21_15_23_49.cal</v>
      </c>
      <c r="G467">
        <v>1</v>
      </c>
      <c r="H467" t="str">
        <f>""</f>
        <v/>
      </c>
      <c r="I467" t="str">
        <f>"8/22/2019 12:15:32 PM"</f>
        <v>8/22/2019 12:15:32 PM</v>
      </c>
      <c r="J467" t="str">
        <f>"1"</f>
        <v>1</v>
      </c>
      <c r="K467" t="str">
        <f>"5"</f>
        <v>5</v>
      </c>
      <c r="L467" t="str">
        <f>"TN"</f>
        <v>TN</v>
      </c>
      <c r="M467" t="str">
        <f>"1.612"</f>
        <v>1.612</v>
      </c>
      <c r="N467" t="str">
        <f>"0.5965"</f>
        <v>0.5965</v>
      </c>
      <c r="O467" t="str">
        <f>"NPOC:3.193mg/L TN:0.6315mg/L"</f>
        <v>NPOC:3.193mg/L TN:0.6315mg/L</v>
      </c>
      <c r="P467">
        <v>0</v>
      </c>
      <c r="Q467" t="str">
        <f>"80"</f>
        <v>80</v>
      </c>
    </row>
    <row r="468" spans="1:17" x14ac:dyDescent="0.2">
      <c r="A468" t="str">
        <f>"Unknown"</f>
        <v>Unknown</v>
      </c>
      <c r="B468" t="str">
        <f>"NPOC/TN"</f>
        <v>NPOC/TN</v>
      </c>
      <c r="C468" t="str">
        <f>"1117"</f>
        <v>1117</v>
      </c>
      <c r="D468" t="str">
        <f>"DI"</f>
        <v>DI</v>
      </c>
      <c r="E468" t="str">
        <f>"C:\TOC3201\Methods\Itamar\acid_sample.met"</f>
        <v>C:\TOC3201\Methods\Itamar\acid_sample.met</v>
      </c>
      <c r="F468" t="str">
        <f>"C:\TOC3201\CalCurves\Itamar\C_cal_100ppm_acid_laurel.2019_08_21_13_17_46.cal"</f>
        <v>C:\TOC3201\CalCurves\Itamar\C_cal_100ppm_acid_laurel.2019_08_21_13_17_46.cal</v>
      </c>
      <c r="G468">
        <v>1</v>
      </c>
      <c r="H468" t="str">
        <f>""</f>
        <v/>
      </c>
      <c r="I468" t="str">
        <f>"8/22/2019 12:25:29 PM"</f>
        <v>8/22/2019 12:25:29 PM</v>
      </c>
      <c r="J468" t="str">
        <f>"1"</f>
        <v>1</v>
      </c>
      <c r="K468" t="str">
        <f>"1"</f>
        <v>1</v>
      </c>
      <c r="L468" t="str">
        <f>"NPOC"</f>
        <v>NPOC</v>
      </c>
      <c r="M468" t="str">
        <f>"34.73"</f>
        <v>34.73</v>
      </c>
      <c r="N468" t="str">
        <f>"6.776"</f>
        <v>6.776</v>
      </c>
      <c r="O468" t="str">
        <f>"NPOC:7.231mg/L TN:1.645mg/L"</f>
        <v>NPOC:7.231mg/L TN:1.645mg/L</v>
      </c>
      <c r="P468">
        <v>1</v>
      </c>
      <c r="Q468" t="str">
        <f>"80"</f>
        <v>80</v>
      </c>
    </row>
    <row r="469" spans="1:17" x14ac:dyDescent="0.2">
      <c r="A469" t="str">
        <f>"Unknown"</f>
        <v>Unknown</v>
      </c>
      <c r="B469" t="str">
        <f>"NPOC/TN"</f>
        <v>NPOC/TN</v>
      </c>
      <c r="C469" t="str">
        <f>"1117"</f>
        <v>1117</v>
      </c>
      <c r="D469" t="str">
        <f>"DI"</f>
        <v>DI</v>
      </c>
      <c r="E469" t="str">
        <f>"C:\TOC3201\Methods\Itamar\acid_sample.met"</f>
        <v>C:\TOC3201\Methods\Itamar\acid_sample.met</v>
      </c>
      <c r="F469" t="str">
        <f>"C:\TOC3201\CalCurves\Itamar\C_cal_100ppm_acid_laurel.2019_08_21_13_17_46.cal"</f>
        <v>C:\TOC3201\CalCurves\Itamar\C_cal_100ppm_acid_laurel.2019_08_21_13_17_46.cal</v>
      </c>
      <c r="G469">
        <v>1</v>
      </c>
      <c r="H469" t="str">
        <f>""</f>
        <v/>
      </c>
      <c r="I469" t="str">
        <f>"8/22/2019 12:28:46 PM"</f>
        <v>8/22/2019 12:28:46 PM</v>
      </c>
      <c r="J469" t="str">
        <f>"1"</f>
        <v>1</v>
      </c>
      <c r="K469" t="str">
        <f>"2"</f>
        <v>2</v>
      </c>
      <c r="L469" t="str">
        <f>"NPOC"</f>
        <v>NPOC</v>
      </c>
      <c r="M469" t="str">
        <f>"34.13"</f>
        <v>34.13</v>
      </c>
      <c r="N469" t="str">
        <f>"6.653"</f>
        <v>6.653</v>
      </c>
      <c r="O469" t="str">
        <f>"NPOC:7.231mg/L TN:1.645mg/L"</f>
        <v>NPOC:7.231mg/L TN:1.645mg/L</v>
      </c>
      <c r="P469">
        <v>1</v>
      </c>
      <c r="Q469" t="str">
        <f>"80"</f>
        <v>80</v>
      </c>
    </row>
    <row r="470" spans="1:17" x14ac:dyDescent="0.2">
      <c r="A470" t="str">
        <f>"Unknown"</f>
        <v>Unknown</v>
      </c>
      <c r="B470" t="str">
        <f>"NPOC/TN"</f>
        <v>NPOC/TN</v>
      </c>
      <c r="C470" t="str">
        <f>"1117"</f>
        <v>1117</v>
      </c>
      <c r="D470" t="str">
        <f>"DI"</f>
        <v>DI</v>
      </c>
      <c r="E470" t="str">
        <f>"C:\TOC3201\Methods\Itamar\acid_sample.met"</f>
        <v>C:\TOC3201\Methods\Itamar\acid_sample.met</v>
      </c>
      <c r="F470" t="str">
        <f>"C:\TOC3201\CalCurves\Itamar\C_cal_100ppm_acid_laurel.2019_08_21_13_17_46.cal"</f>
        <v>C:\TOC3201\CalCurves\Itamar\C_cal_100ppm_acid_laurel.2019_08_21_13_17_46.cal</v>
      </c>
      <c r="G470">
        <v>1</v>
      </c>
      <c r="H470" t="str">
        <f>""</f>
        <v/>
      </c>
      <c r="I470" t="str">
        <f>"8/22/2019 12:32:38 PM"</f>
        <v>8/22/2019 12:32:38 PM</v>
      </c>
      <c r="J470" t="str">
        <f>"1"</f>
        <v>1</v>
      </c>
      <c r="K470" t="str">
        <f>"3"</f>
        <v>3</v>
      </c>
      <c r="L470" t="str">
        <f>"NPOC"</f>
        <v>NPOC</v>
      </c>
      <c r="M470" t="str">
        <f>"37.72"</f>
        <v>37.72</v>
      </c>
      <c r="N470" t="str">
        <f>"7.387"</f>
        <v>7.387</v>
      </c>
      <c r="O470" t="str">
        <f>"NPOC:7.231mg/L TN:1.645mg/L"</f>
        <v>NPOC:7.231mg/L TN:1.645mg/L</v>
      </c>
      <c r="P470">
        <v>0</v>
      </c>
      <c r="Q470" t="str">
        <f>"80"</f>
        <v>80</v>
      </c>
    </row>
    <row r="471" spans="1:17" x14ac:dyDescent="0.2">
      <c r="A471" t="str">
        <f>"Unknown"</f>
        <v>Unknown</v>
      </c>
      <c r="B471" t="str">
        <f>"NPOC/TN"</f>
        <v>NPOC/TN</v>
      </c>
      <c r="C471" t="str">
        <f>"1117"</f>
        <v>1117</v>
      </c>
      <c r="D471" t="str">
        <f>"DI"</f>
        <v>DI</v>
      </c>
      <c r="E471" t="str">
        <f>"C:\TOC3201\Methods\Itamar\acid_sample.met"</f>
        <v>C:\TOC3201\Methods\Itamar\acid_sample.met</v>
      </c>
      <c r="F471" t="str">
        <f>"C:\TOC3201\CalCurves\Itamar\C_cal_100ppm_acid_laurel.2019_08_21_13_17_46.cal"</f>
        <v>C:\TOC3201\CalCurves\Itamar\C_cal_100ppm_acid_laurel.2019_08_21_13_17_46.cal</v>
      </c>
      <c r="G471">
        <v>1</v>
      </c>
      <c r="H471" t="str">
        <f>""</f>
        <v/>
      </c>
      <c r="I471" t="str">
        <f>"8/22/2019 12:36:05 PM"</f>
        <v>8/22/2019 12:36:05 PM</v>
      </c>
      <c r="J471" t="str">
        <f>"1"</f>
        <v>1</v>
      </c>
      <c r="K471" t="str">
        <f>"4"</f>
        <v>4</v>
      </c>
      <c r="L471" t="str">
        <f>"NPOC"</f>
        <v>NPOC</v>
      </c>
      <c r="M471" t="str">
        <f>"37.19"</f>
        <v>37.19</v>
      </c>
      <c r="N471" t="str">
        <f>"7.279"</f>
        <v>7.279</v>
      </c>
      <c r="O471" t="str">
        <f>"NPOC:7.231mg/L TN:1.645mg/L"</f>
        <v>NPOC:7.231mg/L TN:1.645mg/L</v>
      </c>
      <c r="P471">
        <v>0</v>
      </c>
      <c r="Q471" t="str">
        <f>"80"</f>
        <v>80</v>
      </c>
    </row>
    <row r="472" spans="1:17" x14ac:dyDescent="0.2">
      <c r="A472" t="str">
        <f>"Unknown"</f>
        <v>Unknown</v>
      </c>
      <c r="B472" t="str">
        <f>"NPOC/TN"</f>
        <v>NPOC/TN</v>
      </c>
      <c r="C472" t="str">
        <f>"1117"</f>
        <v>1117</v>
      </c>
      <c r="D472" t="str">
        <f>"DI"</f>
        <v>DI</v>
      </c>
      <c r="E472" t="str">
        <f>"C:\TOC3201\Methods\Itamar\acid_sample.met"</f>
        <v>C:\TOC3201\Methods\Itamar\acid_sample.met</v>
      </c>
      <c r="F472" t="str">
        <f>"C:\TOC3201\CalCurves\Itamar\C_cal_100ppm_acid_laurel.2019_08_21_13_17_46.cal"</f>
        <v>C:\TOC3201\CalCurves\Itamar\C_cal_100ppm_acid_laurel.2019_08_21_13_17_46.cal</v>
      </c>
      <c r="G472">
        <v>1</v>
      </c>
      <c r="H472" t="str">
        <f>""</f>
        <v/>
      </c>
      <c r="I472" t="str">
        <f>"8/22/2019 12:39:33 PM"</f>
        <v>8/22/2019 12:39:33 PM</v>
      </c>
      <c r="J472" t="str">
        <f>"1"</f>
        <v>1</v>
      </c>
      <c r="K472" t="str">
        <f>"5"</f>
        <v>5</v>
      </c>
      <c r="L472" t="str">
        <f>"NPOC"</f>
        <v>NPOC</v>
      </c>
      <c r="M472" t="str">
        <f>"35.96"</f>
        <v>35.96</v>
      </c>
      <c r="N472" t="str">
        <f>"7.027"</f>
        <v>7.027</v>
      </c>
      <c r="O472" t="str">
        <f>"NPOC:7.231mg/L TN:1.645mg/L"</f>
        <v>NPOC:7.231mg/L TN:1.645mg/L</v>
      </c>
      <c r="P472">
        <v>0</v>
      </c>
      <c r="Q472" t="str">
        <f>"80"</f>
        <v>80</v>
      </c>
    </row>
    <row r="473" spans="1:17" x14ac:dyDescent="0.2">
      <c r="A473" t="str">
        <f>"Unknown"</f>
        <v>Unknown</v>
      </c>
      <c r="B473" t="str">
        <f>"NPOC/TN"</f>
        <v>NPOC/TN</v>
      </c>
      <c r="C473" t="str">
        <f>"1117"</f>
        <v>1117</v>
      </c>
      <c r="D473" t="str">
        <f>"DI"</f>
        <v>DI</v>
      </c>
      <c r="E473" t="str">
        <f>"C:\TOC3201\Methods\Itamar\acid_sample.met"</f>
        <v>C:\TOC3201\Methods\Itamar\acid_sample.met</v>
      </c>
      <c r="F473" t="str">
        <f>"C:\TOC3201\CalCurves\Itamar\N_cal_25ppm_acid_laurel.2019_08_21_15_23_49.cal"</f>
        <v>C:\TOC3201\CalCurves\Itamar\N_cal_25ppm_acid_laurel.2019_08_21_15_23_49.cal</v>
      </c>
      <c r="G473">
        <v>1</v>
      </c>
      <c r="H473" t="str">
        <f>""</f>
        <v/>
      </c>
      <c r="I473" t="str">
        <f>"8/22/2019 12:25:29 PM"</f>
        <v>8/22/2019 12:25:29 PM</v>
      </c>
      <c r="J473" t="str">
        <f>"1"</f>
        <v>1</v>
      </c>
      <c r="K473" t="str">
        <f>"1"</f>
        <v>1</v>
      </c>
      <c r="L473" t="str">
        <f>"TN"</f>
        <v>TN</v>
      </c>
      <c r="M473" t="str">
        <f>"5.256"</f>
        <v>5.256</v>
      </c>
      <c r="N473" t="str">
        <f>"1.596"</f>
        <v>1.596</v>
      </c>
      <c r="O473" t="str">
        <f>"NPOC:7.231mg/L TN:1.645mg/L"</f>
        <v>NPOC:7.231mg/L TN:1.645mg/L</v>
      </c>
      <c r="P473">
        <v>1</v>
      </c>
      <c r="Q473" t="str">
        <f>"80"</f>
        <v>80</v>
      </c>
    </row>
    <row r="474" spans="1:17" x14ac:dyDescent="0.2">
      <c r="A474" t="str">
        <f>"Unknown"</f>
        <v>Unknown</v>
      </c>
      <c r="B474" t="str">
        <f>"NPOC/TN"</f>
        <v>NPOC/TN</v>
      </c>
      <c r="C474" t="str">
        <f>"1117"</f>
        <v>1117</v>
      </c>
      <c r="D474" t="str">
        <f>"DI"</f>
        <v>DI</v>
      </c>
      <c r="E474" t="str">
        <f>"C:\TOC3201\Methods\Itamar\acid_sample.met"</f>
        <v>C:\TOC3201\Methods\Itamar\acid_sample.met</v>
      </c>
      <c r="F474" t="str">
        <f>"C:\TOC3201\CalCurves\Itamar\N_cal_25ppm_acid_laurel.2019_08_21_15_23_49.cal"</f>
        <v>C:\TOC3201\CalCurves\Itamar\N_cal_25ppm_acid_laurel.2019_08_21_15_23_49.cal</v>
      </c>
      <c r="G474">
        <v>1</v>
      </c>
      <c r="H474" t="str">
        <f>""</f>
        <v/>
      </c>
      <c r="I474" t="str">
        <f>"8/22/2019 12:28:46 PM"</f>
        <v>8/22/2019 12:28:46 PM</v>
      </c>
      <c r="J474" t="str">
        <f>"1"</f>
        <v>1</v>
      </c>
      <c r="K474" t="str">
        <f>"2"</f>
        <v>2</v>
      </c>
      <c r="L474" t="str">
        <f>"TN"</f>
        <v>TN</v>
      </c>
      <c r="M474" t="str">
        <f>"5.040"</f>
        <v>5.040</v>
      </c>
      <c r="N474" t="str">
        <f>"1.537"</f>
        <v>1.537</v>
      </c>
      <c r="O474" t="str">
        <f>"NPOC:7.231mg/L TN:1.645mg/L"</f>
        <v>NPOC:7.231mg/L TN:1.645mg/L</v>
      </c>
      <c r="P474">
        <v>1</v>
      </c>
      <c r="Q474" t="str">
        <f>"80"</f>
        <v>80</v>
      </c>
    </row>
    <row r="475" spans="1:17" x14ac:dyDescent="0.2">
      <c r="A475" t="str">
        <f>"Unknown"</f>
        <v>Unknown</v>
      </c>
      <c r="B475" t="str">
        <f>"NPOC/TN"</f>
        <v>NPOC/TN</v>
      </c>
      <c r="C475" t="str">
        <f>"1117"</f>
        <v>1117</v>
      </c>
      <c r="D475" t="str">
        <f>"DI"</f>
        <v>DI</v>
      </c>
      <c r="E475" t="str">
        <f>"C:\TOC3201\Methods\Itamar\acid_sample.met"</f>
        <v>C:\TOC3201\Methods\Itamar\acid_sample.met</v>
      </c>
      <c r="F475" t="str">
        <f>"C:\TOC3201\CalCurves\Itamar\N_cal_25ppm_acid_laurel.2019_08_21_15_23_49.cal"</f>
        <v>C:\TOC3201\CalCurves\Itamar\N_cal_25ppm_acid_laurel.2019_08_21_15_23_49.cal</v>
      </c>
      <c r="G475">
        <v>1</v>
      </c>
      <c r="H475" t="str">
        <f>""</f>
        <v/>
      </c>
      <c r="I475" t="str">
        <f>"8/22/2019 12:32:38 PM"</f>
        <v>8/22/2019 12:32:38 PM</v>
      </c>
      <c r="J475" t="str">
        <f>"1"</f>
        <v>1</v>
      </c>
      <c r="K475" t="str">
        <f>"3"</f>
        <v>3</v>
      </c>
      <c r="L475" t="str">
        <f>"TN"</f>
        <v>TN</v>
      </c>
      <c r="M475" t="str">
        <f>"5.365"</f>
        <v>5.365</v>
      </c>
      <c r="N475" t="str">
        <f>"1.626"</f>
        <v>1.626</v>
      </c>
      <c r="O475" t="str">
        <f>"NPOC:7.231mg/L TN:1.645mg/L"</f>
        <v>NPOC:7.231mg/L TN:1.645mg/L</v>
      </c>
      <c r="P475">
        <v>0</v>
      </c>
      <c r="Q475" t="str">
        <f>"80"</f>
        <v>80</v>
      </c>
    </row>
    <row r="476" spans="1:17" x14ac:dyDescent="0.2">
      <c r="A476" t="str">
        <f>"Unknown"</f>
        <v>Unknown</v>
      </c>
      <c r="B476" t="str">
        <f>"NPOC/TN"</f>
        <v>NPOC/TN</v>
      </c>
      <c r="C476" t="str">
        <f>"1117"</f>
        <v>1117</v>
      </c>
      <c r="D476" t="str">
        <f>"DI"</f>
        <v>DI</v>
      </c>
      <c r="E476" t="str">
        <f>"C:\TOC3201\Methods\Itamar\acid_sample.met"</f>
        <v>C:\TOC3201\Methods\Itamar\acid_sample.met</v>
      </c>
      <c r="F476" t="str">
        <f>"C:\TOC3201\CalCurves\Itamar\N_cal_25ppm_acid_laurel.2019_08_21_15_23_49.cal"</f>
        <v>C:\TOC3201\CalCurves\Itamar\N_cal_25ppm_acid_laurel.2019_08_21_15_23_49.cal</v>
      </c>
      <c r="G476">
        <v>1</v>
      </c>
      <c r="H476" t="str">
        <f>""</f>
        <v/>
      </c>
      <c r="I476" t="str">
        <f>"8/22/2019 12:36:05 PM"</f>
        <v>8/22/2019 12:36:05 PM</v>
      </c>
      <c r="J476" t="str">
        <f>"1"</f>
        <v>1</v>
      </c>
      <c r="K476" t="str">
        <f>"4"</f>
        <v>4</v>
      </c>
      <c r="L476" t="str">
        <f>"TN"</f>
        <v>TN</v>
      </c>
      <c r="M476" t="str">
        <f>"5.511"</f>
        <v>5.511</v>
      </c>
      <c r="N476" t="str">
        <f>"1.666"</f>
        <v>1.666</v>
      </c>
      <c r="O476" t="str">
        <f>"NPOC:7.231mg/L TN:1.645mg/L"</f>
        <v>NPOC:7.231mg/L TN:1.645mg/L</v>
      </c>
      <c r="P476">
        <v>0</v>
      </c>
      <c r="Q476" t="str">
        <f>"80"</f>
        <v>80</v>
      </c>
    </row>
    <row r="477" spans="1:17" x14ac:dyDescent="0.2">
      <c r="A477" t="str">
        <f>"Unknown"</f>
        <v>Unknown</v>
      </c>
      <c r="B477" t="str">
        <f>"NPOC/TN"</f>
        <v>NPOC/TN</v>
      </c>
      <c r="C477" t="str">
        <f>"1117"</f>
        <v>1117</v>
      </c>
      <c r="D477" t="str">
        <f>"DI"</f>
        <v>DI</v>
      </c>
      <c r="E477" t="str">
        <f>"C:\TOC3201\Methods\Itamar\acid_sample.met"</f>
        <v>C:\TOC3201\Methods\Itamar\acid_sample.met</v>
      </c>
      <c r="F477" t="str">
        <f>"C:\TOC3201\CalCurves\Itamar\N_cal_25ppm_acid_laurel.2019_08_21_15_23_49.cal"</f>
        <v>C:\TOC3201\CalCurves\Itamar\N_cal_25ppm_acid_laurel.2019_08_21_15_23_49.cal</v>
      </c>
      <c r="G477">
        <v>1</v>
      </c>
      <c r="H477" t="str">
        <f>""</f>
        <v/>
      </c>
      <c r="I477" t="str">
        <f>"8/22/2019 12:39:33 PM"</f>
        <v>8/22/2019 12:39:33 PM</v>
      </c>
      <c r="J477" t="str">
        <f>"1"</f>
        <v>1</v>
      </c>
      <c r="K477" t="str">
        <f>"5"</f>
        <v>5</v>
      </c>
      <c r="L477" t="str">
        <f>"TN"</f>
        <v>TN</v>
      </c>
      <c r="M477" t="str">
        <f>"5.427"</f>
        <v>5.427</v>
      </c>
      <c r="N477" t="str">
        <f>"1.643"</f>
        <v>1.643</v>
      </c>
      <c r="O477" t="str">
        <f>"NPOC:7.231mg/L TN:1.645mg/L"</f>
        <v>NPOC:7.231mg/L TN:1.645mg/L</v>
      </c>
      <c r="P477">
        <v>0</v>
      </c>
      <c r="Q477" t="str">
        <f>"80"</f>
        <v>80</v>
      </c>
    </row>
    <row r="478" spans="1:17" x14ac:dyDescent="0.2">
      <c r="A478" t="str">
        <f>"Unknown"</f>
        <v>Unknown</v>
      </c>
      <c r="B478" t="str">
        <f>"NPOC/TN"</f>
        <v>NPOC/TN</v>
      </c>
      <c r="C478" t="str">
        <f>"1119"</f>
        <v>1119</v>
      </c>
      <c r="D478" t="str">
        <f>"DI"</f>
        <v>DI</v>
      </c>
      <c r="E478" t="str">
        <f>"C:\TOC3201\Methods\Itamar\acid_sample.met"</f>
        <v>C:\TOC3201\Methods\Itamar\acid_sample.met</v>
      </c>
      <c r="F478" t="str">
        <f>"C:\TOC3201\CalCurves\Itamar\C_cal_100ppm_acid_laurel.2019_08_21_13_17_46.cal"</f>
        <v>C:\TOC3201\CalCurves\Itamar\C_cal_100ppm_acid_laurel.2019_08_21_13_17_46.cal</v>
      </c>
      <c r="G478">
        <v>1</v>
      </c>
      <c r="H478" t="str">
        <f>""</f>
        <v/>
      </c>
      <c r="I478" t="str">
        <f>"8/22/2019 12:50:08 PM"</f>
        <v>8/22/2019 12:50:08 PM</v>
      </c>
      <c r="J478" t="str">
        <f>"1"</f>
        <v>1</v>
      </c>
      <c r="K478" t="str">
        <f>"1"</f>
        <v>1</v>
      </c>
      <c r="L478" t="str">
        <f>"NPOC"</f>
        <v>NPOC</v>
      </c>
      <c r="M478" t="str">
        <f>"37.43"</f>
        <v>37.43</v>
      </c>
      <c r="N478" t="str">
        <f>"7.328"</f>
        <v>7.328</v>
      </c>
      <c r="O478" t="str">
        <f>"NPOC:7.337mg/L TN:1.582mg/L"</f>
        <v>NPOC:7.337mg/L TN:1.582mg/L</v>
      </c>
      <c r="P478">
        <v>0</v>
      </c>
      <c r="Q478" t="str">
        <f>"80"</f>
        <v>80</v>
      </c>
    </row>
    <row r="479" spans="1:17" x14ac:dyDescent="0.2">
      <c r="A479" t="str">
        <f>"Unknown"</f>
        <v>Unknown</v>
      </c>
      <c r="B479" t="str">
        <f>"NPOC/TN"</f>
        <v>NPOC/TN</v>
      </c>
      <c r="C479" t="str">
        <f>"1119"</f>
        <v>1119</v>
      </c>
      <c r="D479" t="str">
        <f>"DI"</f>
        <v>DI</v>
      </c>
      <c r="E479" t="str">
        <f>"C:\TOC3201\Methods\Itamar\acid_sample.met"</f>
        <v>C:\TOC3201\Methods\Itamar\acid_sample.met</v>
      </c>
      <c r="F479" t="str">
        <f>"C:\TOC3201\CalCurves\Itamar\C_cal_100ppm_acid_laurel.2019_08_21_13_17_46.cal"</f>
        <v>C:\TOC3201\CalCurves\Itamar\C_cal_100ppm_acid_laurel.2019_08_21_13_17_46.cal</v>
      </c>
      <c r="G479">
        <v>1</v>
      </c>
      <c r="H479" t="str">
        <f>""</f>
        <v/>
      </c>
      <c r="I479" t="str">
        <f>"8/22/2019 12:53:32 PM"</f>
        <v>8/22/2019 12:53:32 PM</v>
      </c>
      <c r="J479" t="str">
        <f>"1"</f>
        <v>1</v>
      </c>
      <c r="K479" t="str">
        <f>"2"</f>
        <v>2</v>
      </c>
      <c r="L479" t="str">
        <f>"NPOC"</f>
        <v>NPOC</v>
      </c>
      <c r="M479" t="str">
        <f>"34.81"</f>
        <v>34.81</v>
      </c>
      <c r="N479" t="str">
        <f>"6.792"</f>
        <v>6.792</v>
      </c>
      <c r="O479" t="str">
        <f>"NPOC:7.337mg/L TN:1.582mg/L"</f>
        <v>NPOC:7.337mg/L TN:1.582mg/L</v>
      </c>
      <c r="P479">
        <v>1</v>
      </c>
      <c r="Q479" t="str">
        <f>"80"</f>
        <v>80</v>
      </c>
    </row>
    <row r="480" spans="1:17" x14ac:dyDescent="0.2">
      <c r="A480" t="str">
        <f>"Unknown"</f>
        <v>Unknown</v>
      </c>
      <c r="B480" t="str">
        <f>"NPOC/TN"</f>
        <v>NPOC/TN</v>
      </c>
      <c r="C480" t="str">
        <f>"1119"</f>
        <v>1119</v>
      </c>
      <c r="D480" t="str">
        <f>"DI"</f>
        <v>DI</v>
      </c>
      <c r="E480" t="str">
        <f>"C:\TOC3201\Methods\Itamar\acid_sample.met"</f>
        <v>C:\TOC3201\Methods\Itamar\acid_sample.met</v>
      </c>
      <c r="F480" t="str">
        <f>"C:\TOC3201\CalCurves\Itamar\C_cal_100ppm_acid_laurel.2019_08_21_13_17_46.cal"</f>
        <v>C:\TOC3201\CalCurves\Itamar\C_cal_100ppm_acid_laurel.2019_08_21_13_17_46.cal</v>
      </c>
      <c r="G480">
        <v>1</v>
      </c>
      <c r="H480" t="str">
        <f>""</f>
        <v/>
      </c>
      <c r="I480" t="str">
        <f>"8/22/2019 12:56:50 PM"</f>
        <v>8/22/2019 12:56:50 PM</v>
      </c>
      <c r="J480" t="str">
        <f>"1"</f>
        <v>1</v>
      </c>
      <c r="K480" t="str">
        <f>"3"</f>
        <v>3</v>
      </c>
      <c r="L480" t="str">
        <f>"NPOC"</f>
        <v>NPOC</v>
      </c>
      <c r="M480" t="str">
        <f>"37.12"</f>
        <v>37.12</v>
      </c>
      <c r="N480" t="str">
        <f>"7.265"</f>
        <v>7.265</v>
      </c>
      <c r="O480" t="str">
        <f>"NPOC:7.337mg/L TN:1.582mg/L"</f>
        <v>NPOC:7.337mg/L TN:1.582mg/L</v>
      </c>
      <c r="P480">
        <v>0</v>
      </c>
      <c r="Q480" t="str">
        <f>"80"</f>
        <v>80</v>
      </c>
    </row>
    <row r="481" spans="1:17" x14ac:dyDescent="0.2">
      <c r="A481" t="str">
        <f>"Unknown"</f>
        <v>Unknown</v>
      </c>
      <c r="B481" t="str">
        <f>"NPOC/TN"</f>
        <v>NPOC/TN</v>
      </c>
      <c r="C481" t="str">
        <f>"1119"</f>
        <v>1119</v>
      </c>
      <c r="D481" t="str">
        <f>"DI"</f>
        <v>DI</v>
      </c>
      <c r="E481" t="str">
        <f>"C:\TOC3201\Methods\Itamar\acid_sample.met"</f>
        <v>C:\TOC3201\Methods\Itamar\acid_sample.met</v>
      </c>
      <c r="F481" t="str">
        <f>"C:\TOC3201\CalCurves\Itamar\C_cal_100ppm_acid_laurel.2019_08_21_13_17_46.cal"</f>
        <v>C:\TOC3201\CalCurves\Itamar\C_cal_100ppm_acid_laurel.2019_08_21_13_17_46.cal</v>
      </c>
      <c r="G481">
        <v>1</v>
      </c>
      <c r="H481" t="str">
        <f>""</f>
        <v/>
      </c>
      <c r="I481" t="str">
        <f>"8/22/2019 1:00:17 PM"</f>
        <v>8/22/2019 1:00:17 PM</v>
      </c>
      <c r="J481" t="str">
        <f>"1"</f>
        <v>1</v>
      </c>
      <c r="K481" t="str">
        <f>"4"</f>
        <v>4</v>
      </c>
      <c r="L481" t="str">
        <f>"NPOC"</f>
        <v>NPOC</v>
      </c>
      <c r="M481" t="str">
        <f>"37.87"</f>
        <v>37.87</v>
      </c>
      <c r="N481" t="str">
        <f>"7.418"</f>
        <v>7.418</v>
      </c>
      <c r="O481" t="str">
        <f>"NPOC:7.337mg/L TN:1.582mg/L"</f>
        <v>NPOC:7.337mg/L TN:1.582mg/L</v>
      </c>
      <c r="P481">
        <v>0</v>
      </c>
      <c r="Q481" t="str">
        <f>"80"</f>
        <v>80</v>
      </c>
    </row>
    <row r="482" spans="1:17" x14ac:dyDescent="0.2">
      <c r="A482" t="str">
        <f>"Unknown"</f>
        <v>Unknown</v>
      </c>
      <c r="B482" t="str">
        <f>"NPOC/TN"</f>
        <v>NPOC/TN</v>
      </c>
      <c r="C482" t="str">
        <f>"1119"</f>
        <v>1119</v>
      </c>
      <c r="D482" t="str">
        <f>"DI"</f>
        <v>DI</v>
      </c>
      <c r="E482" t="str">
        <f>"C:\TOC3201\Methods\Itamar\acid_sample.met"</f>
        <v>C:\TOC3201\Methods\Itamar\acid_sample.met</v>
      </c>
      <c r="F482" t="str">
        <f>"C:\TOC3201\CalCurves\Itamar\N_cal_25ppm_acid_laurel.2019_08_21_15_23_49.cal"</f>
        <v>C:\TOC3201\CalCurves\Itamar\N_cal_25ppm_acid_laurel.2019_08_21_15_23_49.cal</v>
      </c>
      <c r="G482">
        <v>1</v>
      </c>
      <c r="H482" t="str">
        <f>""</f>
        <v/>
      </c>
      <c r="I482" t="str">
        <f>"8/22/2019 12:50:08 PM"</f>
        <v>8/22/2019 12:50:08 PM</v>
      </c>
      <c r="J482" t="str">
        <f>"1"</f>
        <v>1</v>
      </c>
      <c r="K482" t="str">
        <f>"1"</f>
        <v>1</v>
      </c>
      <c r="L482" t="str">
        <f>"TN"</f>
        <v>TN</v>
      </c>
      <c r="M482" t="str">
        <f>"5.275"</f>
        <v>5.275</v>
      </c>
      <c r="N482" t="str">
        <f>"1.601"</f>
        <v>1.601</v>
      </c>
      <c r="O482" t="str">
        <f>"NPOC:7.337mg/L TN:1.582mg/L"</f>
        <v>NPOC:7.337mg/L TN:1.582mg/L</v>
      </c>
      <c r="P482">
        <v>0</v>
      </c>
      <c r="Q482" t="str">
        <f>"80"</f>
        <v>80</v>
      </c>
    </row>
    <row r="483" spans="1:17" x14ac:dyDescent="0.2">
      <c r="A483" t="str">
        <f>"Unknown"</f>
        <v>Unknown</v>
      </c>
      <c r="B483" t="str">
        <f>"NPOC/TN"</f>
        <v>NPOC/TN</v>
      </c>
      <c r="C483" t="str">
        <f>"1119"</f>
        <v>1119</v>
      </c>
      <c r="D483" t="str">
        <f>"DI"</f>
        <v>DI</v>
      </c>
      <c r="E483" t="str">
        <f>"C:\TOC3201\Methods\Itamar\acid_sample.met"</f>
        <v>C:\TOC3201\Methods\Itamar\acid_sample.met</v>
      </c>
      <c r="F483" t="str">
        <f>"C:\TOC3201\CalCurves\Itamar\N_cal_25ppm_acid_laurel.2019_08_21_15_23_49.cal"</f>
        <v>C:\TOC3201\CalCurves\Itamar\N_cal_25ppm_acid_laurel.2019_08_21_15_23_49.cal</v>
      </c>
      <c r="G483">
        <v>1</v>
      </c>
      <c r="H483" t="str">
        <f>""</f>
        <v/>
      </c>
      <c r="I483" t="str">
        <f>"8/22/2019 12:53:32 PM"</f>
        <v>8/22/2019 12:53:32 PM</v>
      </c>
      <c r="J483" t="str">
        <f>"1"</f>
        <v>1</v>
      </c>
      <c r="K483" t="str">
        <f>"2"</f>
        <v>2</v>
      </c>
      <c r="L483" t="str">
        <f>"TN"</f>
        <v>TN</v>
      </c>
      <c r="M483" t="str">
        <f>"5.259"</f>
        <v>5.259</v>
      </c>
      <c r="N483" t="str">
        <f>"1.597"</f>
        <v>1.597</v>
      </c>
      <c r="O483" t="str">
        <f>"NPOC:7.337mg/L TN:1.582mg/L"</f>
        <v>NPOC:7.337mg/L TN:1.582mg/L</v>
      </c>
      <c r="P483">
        <v>0</v>
      </c>
      <c r="Q483" t="str">
        <f>"80"</f>
        <v>80</v>
      </c>
    </row>
    <row r="484" spans="1:17" x14ac:dyDescent="0.2">
      <c r="A484" t="str">
        <f>"Unknown"</f>
        <v>Unknown</v>
      </c>
      <c r="B484" t="str">
        <f>"NPOC/TN"</f>
        <v>NPOC/TN</v>
      </c>
      <c r="C484" t="str">
        <f>"1119"</f>
        <v>1119</v>
      </c>
      <c r="D484" t="str">
        <f>"DI"</f>
        <v>DI</v>
      </c>
      <c r="E484" t="str">
        <f>"C:\TOC3201\Methods\Itamar\acid_sample.met"</f>
        <v>C:\TOC3201\Methods\Itamar\acid_sample.met</v>
      </c>
      <c r="F484" t="str">
        <f>"C:\TOC3201\CalCurves\Itamar\N_cal_25ppm_acid_laurel.2019_08_21_15_23_49.cal"</f>
        <v>C:\TOC3201\CalCurves\Itamar\N_cal_25ppm_acid_laurel.2019_08_21_15_23_49.cal</v>
      </c>
      <c r="G484">
        <v>1</v>
      </c>
      <c r="H484" t="str">
        <f>""</f>
        <v/>
      </c>
      <c r="I484" t="str">
        <f>"8/22/2019 12:56:50 PM"</f>
        <v>8/22/2019 12:56:50 PM</v>
      </c>
      <c r="J484" t="str">
        <f>"1"</f>
        <v>1</v>
      </c>
      <c r="K484" t="str">
        <f>"3"</f>
        <v>3</v>
      </c>
      <c r="L484" t="str">
        <f>"TN"</f>
        <v>TN</v>
      </c>
      <c r="M484" t="str">
        <f>"5.512"</f>
        <v>5.512</v>
      </c>
      <c r="N484" t="str">
        <f>"1.666"</f>
        <v>1.666</v>
      </c>
      <c r="O484" t="str">
        <f>"NPOC:7.337mg/L TN:1.582mg/L"</f>
        <v>NPOC:7.337mg/L TN:1.582mg/L</v>
      </c>
      <c r="P484">
        <v>1</v>
      </c>
      <c r="Q484" t="str">
        <f>"80"</f>
        <v>80</v>
      </c>
    </row>
    <row r="485" spans="1:17" x14ac:dyDescent="0.2">
      <c r="A485" t="str">
        <f>"Unknown"</f>
        <v>Unknown</v>
      </c>
      <c r="B485" t="str">
        <f>"NPOC/TN"</f>
        <v>NPOC/TN</v>
      </c>
      <c r="C485" t="str">
        <f>"1119"</f>
        <v>1119</v>
      </c>
      <c r="D485" t="str">
        <f>"DI"</f>
        <v>DI</v>
      </c>
      <c r="E485" t="str">
        <f>"C:\TOC3201\Methods\Itamar\acid_sample.met"</f>
        <v>C:\TOC3201\Methods\Itamar\acid_sample.met</v>
      </c>
      <c r="F485" t="str">
        <f>"C:\TOC3201\CalCurves\Itamar\N_cal_25ppm_acid_laurel.2019_08_21_15_23_49.cal"</f>
        <v>C:\TOC3201\CalCurves\Itamar\N_cal_25ppm_acid_laurel.2019_08_21_15_23_49.cal</v>
      </c>
      <c r="G485">
        <v>1</v>
      </c>
      <c r="H485" t="str">
        <f>""</f>
        <v/>
      </c>
      <c r="I485" t="str">
        <f>"8/22/2019 1:00:17 PM"</f>
        <v>8/22/2019 1:00:17 PM</v>
      </c>
      <c r="J485" t="str">
        <f>"1"</f>
        <v>1</v>
      </c>
      <c r="K485" t="str">
        <f>"4"</f>
        <v>4</v>
      </c>
      <c r="L485" t="str">
        <f>"TN"</f>
        <v>TN</v>
      </c>
      <c r="M485" t="str">
        <f>"5.079"</f>
        <v>5.079</v>
      </c>
      <c r="N485" t="str">
        <f>"1.547"</f>
        <v>1.547</v>
      </c>
      <c r="O485" t="str">
        <f>"NPOC:7.337mg/L TN:1.582mg/L"</f>
        <v>NPOC:7.337mg/L TN:1.582mg/L</v>
      </c>
      <c r="P485">
        <v>0</v>
      </c>
      <c r="Q485" t="str">
        <f>"80"</f>
        <v>80</v>
      </c>
    </row>
    <row r="486" spans="1:17" x14ac:dyDescent="0.2">
      <c r="A486" t="str">
        <f>"Unknown"</f>
        <v>Unknown</v>
      </c>
      <c r="B486" t="str">
        <f>"NPOC/TN"</f>
        <v>NPOC/TN</v>
      </c>
      <c r="C486" t="str">
        <f>"1119"</f>
        <v>1119</v>
      </c>
      <c r="D486" t="str">
        <f>"DI"</f>
        <v>DI</v>
      </c>
      <c r="E486" t="str">
        <f>"C:\TOC3201\Methods\Itamar\acid_sample.met"</f>
        <v>C:\TOC3201\Methods\Itamar\acid_sample.met</v>
      </c>
      <c r="F486" t="str">
        <f>"C:\TOC3201\CalCurves\Itamar\N_cal_25ppm_acid_laurel.2019_08_21_15_23_49.cal"</f>
        <v>C:\TOC3201\CalCurves\Itamar\N_cal_25ppm_acid_laurel.2019_08_21_15_23_49.cal</v>
      </c>
      <c r="G486">
        <v>1</v>
      </c>
      <c r="H486" t="str">
        <f>""</f>
        <v/>
      </c>
      <c r="I486" t="str">
        <f>"8/22/2019 1:03:30 PM"</f>
        <v>8/22/2019 1:03:30 PM</v>
      </c>
      <c r="J486" t="str">
        <f>"1"</f>
        <v>1</v>
      </c>
      <c r="K486" t="str">
        <f>"5"</f>
        <v>5</v>
      </c>
      <c r="L486" t="str">
        <f>"TN"</f>
        <v>TN</v>
      </c>
      <c r="M486" t="str">
        <f>"5.480"</f>
        <v>5.480</v>
      </c>
      <c r="N486" t="str">
        <f>"1.657"</f>
        <v>1.657</v>
      </c>
      <c r="O486" t="str">
        <f>"NPOC:7.337mg/L TN:1.582mg/L"</f>
        <v>NPOC:7.337mg/L TN:1.582mg/L</v>
      </c>
      <c r="P486">
        <v>1</v>
      </c>
      <c r="Q486" t="str">
        <f>"80"</f>
        <v>80</v>
      </c>
    </row>
    <row r="487" spans="1:17" x14ac:dyDescent="0.2">
      <c r="A487" t="str">
        <f>"Unknown"</f>
        <v>Unknown</v>
      </c>
      <c r="B487" t="str">
        <f>"NPOC/TN"</f>
        <v>NPOC/TN</v>
      </c>
      <c r="C487" t="str">
        <f>"1121"</f>
        <v>1121</v>
      </c>
      <c r="D487" t="str">
        <f>"DI"</f>
        <v>DI</v>
      </c>
      <c r="E487" t="str">
        <f>"C:\TOC3201\Methods\Itamar\acid_sample.met"</f>
        <v>C:\TOC3201\Methods\Itamar\acid_sample.met</v>
      </c>
      <c r="F487" t="str">
        <f>"C:\TOC3201\CalCurves\Itamar\C_cal_100ppm_acid_laurel.2019_08_21_13_17_46.cal"</f>
        <v>C:\TOC3201\CalCurves\Itamar\C_cal_100ppm_acid_laurel.2019_08_21_13_17_46.cal</v>
      </c>
      <c r="G487">
        <v>1</v>
      </c>
      <c r="H487" t="str">
        <f>""</f>
        <v/>
      </c>
      <c r="I487" t="str">
        <f>"8/22/2019 1:13:31 PM"</f>
        <v>8/22/2019 1:13:31 PM</v>
      </c>
      <c r="J487" t="str">
        <f>"1"</f>
        <v>1</v>
      </c>
      <c r="K487" t="str">
        <f>"1"</f>
        <v>1</v>
      </c>
      <c r="L487" t="str">
        <f>"NPOC"</f>
        <v>NPOC</v>
      </c>
      <c r="M487" t="str">
        <f>"36.91"</f>
        <v>36.91</v>
      </c>
      <c r="N487" t="str">
        <f>"7.222"</f>
        <v>7.222</v>
      </c>
      <c r="O487" t="str">
        <f>"NPOC:7.199mg/L TN:1.509mg/L"</f>
        <v>NPOC:7.199mg/L TN:1.509mg/L</v>
      </c>
      <c r="P487">
        <v>0</v>
      </c>
      <c r="Q487" t="str">
        <f>"80"</f>
        <v>80</v>
      </c>
    </row>
    <row r="488" spans="1:17" x14ac:dyDescent="0.2">
      <c r="A488" t="str">
        <f>"Unknown"</f>
        <v>Unknown</v>
      </c>
      <c r="B488" t="str">
        <f>"NPOC/TN"</f>
        <v>NPOC/TN</v>
      </c>
      <c r="C488" t="str">
        <f>"1121"</f>
        <v>1121</v>
      </c>
      <c r="D488" t="str">
        <f>"DI"</f>
        <v>DI</v>
      </c>
      <c r="E488" t="str">
        <f>"C:\TOC3201\Methods\Itamar\acid_sample.met"</f>
        <v>C:\TOC3201\Methods\Itamar\acid_sample.met</v>
      </c>
      <c r="F488" t="str">
        <f>"C:\TOC3201\CalCurves\Itamar\C_cal_100ppm_acid_laurel.2019_08_21_13_17_46.cal"</f>
        <v>C:\TOC3201\CalCurves\Itamar\C_cal_100ppm_acid_laurel.2019_08_21_13_17_46.cal</v>
      </c>
      <c r="G488">
        <v>1</v>
      </c>
      <c r="H488" t="str">
        <f>""</f>
        <v/>
      </c>
      <c r="I488" t="str">
        <f>"8/22/2019 1:16:53 PM"</f>
        <v>8/22/2019 1:16:53 PM</v>
      </c>
      <c r="J488" t="str">
        <f>"1"</f>
        <v>1</v>
      </c>
      <c r="K488" t="str">
        <f>"2"</f>
        <v>2</v>
      </c>
      <c r="L488" t="str">
        <f>"NPOC"</f>
        <v>NPOC</v>
      </c>
      <c r="M488" t="str">
        <f>"35.00"</f>
        <v>35.00</v>
      </c>
      <c r="N488" t="str">
        <f>"6.831"</f>
        <v>6.831</v>
      </c>
      <c r="O488" t="str">
        <f>"NPOC:7.199mg/L TN:1.509mg/L"</f>
        <v>NPOC:7.199mg/L TN:1.509mg/L</v>
      </c>
      <c r="P488">
        <v>1</v>
      </c>
      <c r="Q488" t="str">
        <f>"80"</f>
        <v>80</v>
      </c>
    </row>
    <row r="489" spans="1:17" x14ac:dyDescent="0.2">
      <c r="A489" t="str">
        <f>"Unknown"</f>
        <v>Unknown</v>
      </c>
      <c r="B489" t="str">
        <f>"NPOC/TN"</f>
        <v>NPOC/TN</v>
      </c>
      <c r="C489" t="str">
        <f>"1121"</f>
        <v>1121</v>
      </c>
      <c r="D489" t="str">
        <f>"DI"</f>
        <v>DI</v>
      </c>
      <c r="E489" t="str">
        <f>"C:\TOC3201\Methods\Itamar\acid_sample.met"</f>
        <v>C:\TOC3201\Methods\Itamar\acid_sample.met</v>
      </c>
      <c r="F489" t="str">
        <f>"C:\TOC3201\CalCurves\Itamar\C_cal_100ppm_acid_laurel.2019_08_21_13_17_46.cal"</f>
        <v>C:\TOC3201\CalCurves\Itamar\C_cal_100ppm_acid_laurel.2019_08_21_13_17_46.cal</v>
      </c>
      <c r="G489">
        <v>1</v>
      </c>
      <c r="H489" t="str">
        <f>""</f>
        <v/>
      </c>
      <c r="I489" t="str">
        <f>"8/22/2019 1:20:17 PM"</f>
        <v>8/22/2019 1:20:17 PM</v>
      </c>
      <c r="J489" t="str">
        <f>"1"</f>
        <v>1</v>
      </c>
      <c r="K489" t="str">
        <f>"3"</f>
        <v>3</v>
      </c>
      <c r="L489" t="str">
        <f>"NPOC"</f>
        <v>NPOC</v>
      </c>
      <c r="M489" t="str">
        <f>"36.70"</f>
        <v>36.70</v>
      </c>
      <c r="N489" t="str">
        <f>"7.179"</f>
        <v>7.179</v>
      </c>
      <c r="O489" t="str">
        <f>"NPOC:7.199mg/L TN:1.509mg/L"</f>
        <v>NPOC:7.199mg/L TN:1.509mg/L</v>
      </c>
      <c r="P489">
        <v>0</v>
      </c>
      <c r="Q489" t="str">
        <f>"80"</f>
        <v>80</v>
      </c>
    </row>
    <row r="490" spans="1:17" x14ac:dyDescent="0.2">
      <c r="A490" t="str">
        <f>"Unknown"</f>
        <v>Unknown</v>
      </c>
      <c r="B490" t="str">
        <f>"NPOC/TN"</f>
        <v>NPOC/TN</v>
      </c>
      <c r="C490" t="str">
        <f>"1121"</f>
        <v>1121</v>
      </c>
      <c r="D490" t="str">
        <f>"DI"</f>
        <v>DI</v>
      </c>
      <c r="E490" t="str">
        <f>"C:\TOC3201\Methods\Itamar\acid_sample.met"</f>
        <v>C:\TOC3201\Methods\Itamar\acid_sample.met</v>
      </c>
      <c r="F490" t="str">
        <f>"C:\TOC3201\CalCurves\Itamar\C_cal_100ppm_acid_laurel.2019_08_21_13_17_46.cal"</f>
        <v>C:\TOC3201\CalCurves\Itamar\C_cal_100ppm_acid_laurel.2019_08_21_13_17_46.cal</v>
      </c>
      <c r="G490">
        <v>1</v>
      </c>
      <c r="H490" t="str">
        <f>""</f>
        <v/>
      </c>
      <c r="I490" t="str">
        <f>"8/22/2019 1:23:45 PM"</f>
        <v>8/22/2019 1:23:45 PM</v>
      </c>
      <c r="J490" t="str">
        <f>"1"</f>
        <v>1</v>
      </c>
      <c r="K490" t="str">
        <f>"4"</f>
        <v>4</v>
      </c>
      <c r="L490" t="str">
        <f>"NPOC"</f>
        <v>NPOC</v>
      </c>
      <c r="M490" t="str">
        <f>"36.78"</f>
        <v>36.78</v>
      </c>
      <c r="N490" t="str">
        <f>"7.195"</f>
        <v>7.195</v>
      </c>
      <c r="O490" t="str">
        <f>"NPOC:7.199mg/L TN:1.509mg/L"</f>
        <v>NPOC:7.199mg/L TN:1.509mg/L</v>
      </c>
      <c r="P490">
        <v>0</v>
      </c>
      <c r="Q490" t="str">
        <f>"80"</f>
        <v>80</v>
      </c>
    </row>
    <row r="491" spans="1:17" x14ac:dyDescent="0.2">
      <c r="A491" t="str">
        <f>"Unknown"</f>
        <v>Unknown</v>
      </c>
      <c r="B491" t="str">
        <f>"NPOC/TN"</f>
        <v>NPOC/TN</v>
      </c>
      <c r="C491" t="str">
        <f>"1121"</f>
        <v>1121</v>
      </c>
      <c r="D491" t="str">
        <f>"DI"</f>
        <v>DI</v>
      </c>
      <c r="E491" t="str">
        <f>"C:\TOC3201\Methods\Itamar\acid_sample.met"</f>
        <v>C:\TOC3201\Methods\Itamar\acid_sample.met</v>
      </c>
      <c r="F491" t="str">
        <f>"C:\TOC3201\CalCurves\Itamar\N_cal_25ppm_acid_laurel.2019_08_21_15_23_49.cal"</f>
        <v>C:\TOC3201\CalCurves\Itamar\N_cal_25ppm_acid_laurel.2019_08_21_15_23_49.cal</v>
      </c>
      <c r="G491">
        <v>1</v>
      </c>
      <c r="H491" t="str">
        <f>""</f>
        <v/>
      </c>
      <c r="I491" t="str">
        <f>"8/22/2019 1:13:31 PM"</f>
        <v>8/22/2019 1:13:31 PM</v>
      </c>
      <c r="J491" t="str">
        <f>"1"</f>
        <v>1</v>
      </c>
      <c r="K491" t="str">
        <f>"1"</f>
        <v>1</v>
      </c>
      <c r="L491" t="str">
        <f>"TN"</f>
        <v>TN</v>
      </c>
      <c r="M491" t="str">
        <f>"5.034"</f>
        <v>5.034</v>
      </c>
      <c r="N491" t="str">
        <f>"1.535"</f>
        <v>1.535</v>
      </c>
      <c r="O491" t="str">
        <f>"NPOC:7.199mg/L TN:1.509mg/L"</f>
        <v>NPOC:7.199mg/L TN:1.509mg/L</v>
      </c>
      <c r="P491">
        <v>0</v>
      </c>
      <c r="Q491" t="str">
        <f>"80"</f>
        <v>80</v>
      </c>
    </row>
    <row r="492" spans="1:17" x14ac:dyDescent="0.2">
      <c r="A492" t="str">
        <f>"Unknown"</f>
        <v>Unknown</v>
      </c>
      <c r="B492" t="str">
        <f>"NPOC/TN"</f>
        <v>NPOC/TN</v>
      </c>
      <c r="C492" t="str">
        <f>"1121"</f>
        <v>1121</v>
      </c>
      <c r="D492" t="str">
        <f>"DI"</f>
        <v>DI</v>
      </c>
      <c r="E492" t="str">
        <f>"C:\TOC3201\Methods\Itamar\acid_sample.met"</f>
        <v>C:\TOC3201\Methods\Itamar\acid_sample.met</v>
      </c>
      <c r="F492" t="str">
        <f>"C:\TOC3201\CalCurves\Itamar\N_cal_25ppm_acid_laurel.2019_08_21_15_23_49.cal"</f>
        <v>C:\TOC3201\CalCurves\Itamar\N_cal_25ppm_acid_laurel.2019_08_21_15_23_49.cal</v>
      </c>
      <c r="G492">
        <v>1</v>
      </c>
      <c r="H492" t="str">
        <f>""</f>
        <v/>
      </c>
      <c r="I492" t="str">
        <f>"8/22/2019 1:16:53 PM"</f>
        <v>8/22/2019 1:16:53 PM</v>
      </c>
      <c r="J492" t="str">
        <f>"1"</f>
        <v>1</v>
      </c>
      <c r="K492" t="str">
        <f>"2"</f>
        <v>2</v>
      </c>
      <c r="L492" t="str">
        <f>"TN"</f>
        <v>TN</v>
      </c>
      <c r="M492" t="str">
        <f>"4.871"</f>
        <v>4.871</v>
      </c>
      <c r="N492" t="str">
        <f>"1.490"</f>
        <v>1.490</v>
      </c>
      <c r="O492" t="str">
        <f>"NPOC:7.199mg/L TN:1.509mg/L"</f>
        <v>NPOC:7.199mg/L TN:1.509mg/L</v>
      </c>
      <c r="P492">
        <v>0</v>
      </c>
      <c r="Q492" t="str">
        <f>"80"</f>
        <v>80</v>
      </c>
    </row>
    <row r="493" spans="1:17" x14ac:dyDescent="0.2">
      <c r="A493" t="str">
        <f>"Unknown"</f>
        <v>Unknown</v>
      </c>
      <c r="B493" t="str">
        <f>"NPOC/TN"</f>
        <v>NPOC/TN</v>
      </c>
      <c r="C493" t="str">
        <f>"1121"</f>
        <v>1121</v>
      </c>
      <c r="D493" t="str">
        <f>"DI"</f>
        <v>DI</v>
      </c>
      <c r="E493" t="str">
        <f>"C:\TOC3201\Methods\Itamar\acid_sample.met"</f>
        <v>C:\TOC3201\Methods\Itamar\acid_sample.met</v>
      </c>
      <c r="F493" t="str">
        <f>"C:\TOC3201\CalCurves\Itamar\N_cal_25ppm_acid_laurel.2019_08_21_15_23_49.cal"</f>
        <v>C:\TOC3201\CalCurves\Itamar\N_cal_25ppm_acid_laurel.2019_08_21_15_23_49.cal</v>
      </c>
      <c r="G493">
        <v>1</v>
      </c>
      <c r="H493" t="str">
        <f>""</f>
        <v/>
      </c>
      <c r="I493" t="str">
        <f>"8/22/2019 1:20:17 PM"</f>
        <v>8/22/2019 1:20:17 PM</v>
      </c>
      <c r="J493" t="str">
        <f>"1"</f>
        <v>1</v>
      </c>
      <c r="K493" t="str">
        <f>"3"</f>
        <v>3</v>
      </c>
      <c r="L493" t="str">
        <f>"TN"</f>
        <v>TN</v>
      </c>
      <c r="M493" t="str">
        <f>"4.912"</f>
        <v>4.912</v>
      </c>
      <c r="N493" t="str">
        <f>"1.502"</f>
        <v>1.502</v>
      </c>
      <c r="O493" t="str">
        <f>"NPOC:7.199mg/L TN:1.509mg/L"</f>
        <v>NPOC:7.199mg/L TN:1.509mg/L</v>
      </c>
      <c r="P493">
        <v>0</v>
      </c>
      <c r="Q493" t="str">
        <f>"80"</f>
        <v>80</v>
      </c>
    </row>
    <row r="494" spans="1:17" x14ac:dyDescent="0.2">
      <c r="A494" t="str">
        <f>"Unknown"</f>
        <v>Unknown</v>
      </c>
      <c r="B494" t="str">
        <f>"NPOC/TN"</f>
        <v>NPOC/TN</v>
      </c>
      <c r="C494" t="str">
        <f>"DI"</f>
        <v>DI</v>
      </c>
      <c r="D494" t="str">
        <f>"DI"</f>
        <v>DI</v>
      </c>
      <c r="E494" t="str">
        <f>"C:\TOC3201\Methods\Itamar\acid_sample.met"</f>
        <v>C:\TOC3201\Methods\Itamar\acid_sample.met</v>
      </c>
      <c r="F494" t="str">
        <f>"C:\TOC3201\CalCurves\Itamar\C_cal_100ppm_acid_laurel.2019_08_21_13_17_46.cal"</f>
        <v>C:\TOC3201\CalCurves\Itamar\C_cal_100ppm_acid_laurel.2019_08_21_13_17_46.cal</v>
      </c>
      <c r="G494">
        <v>1</v>
      </c>
      <c r="H494" t="str">
        <f>""</f>
        <v/>
      </c>
      <c r="I494" t="str">
        <f>"8/22/2019 1:32:35 PM"</f>
        <v>8/22/2019 1:32:35 PM</v>
      </c>
      <c r="J494" t="str">
        <f>"1"</f>
        <v>1</v>
      </c>
      <c r="K494" t="str">
        <f>"1"</f>
        <v>1</v>
      </c>
      <c r="L494" t="str">
        <f>"NPOC"</f>
        <v>NPOC</v>
      </c>
      <c r="M494" t="str">
        <f>"0.000"</f>
        <v>0.000</v>
      </c>
      <c r="N494" t="str">
        <f>"-0.3249"</f>
        <v>-0.3249</v>
      </c>
      <c r="O494" t="str">
        <f>"NPOC:-0.2616mg/L TN:0.1544mg/L"</f>
        <v>NPOC:-0.2616mg/L TN:0.1544mg/L</v>
      </c>
      <c r="P494">
        <v>1</v>
      </c>
      <c r="Q494" t="str">
        <f>"80"</f>
        <v>80</v>
      </c>
    </row>
    <row r="495" spans="1:17" x14ac:dyDescent="0.2">
      <c r="A495" t="str">
        <f>"Unknown"</f>
        <v>Unknown</v>
      </c>
      <c r="B495" t="str">
        <f>"NPOC/TN"</f>
        <v>NPOC/TN</v>
      </c>
      <c r="C495" t="str">
        <f>"DI"</f>
        <v>DI</v>
      </c>
      <c r="D495" t="str">
        <f>"DI"</f>
        <v>DI</v>
      </c>
      <c r="E495" t="str">
        <f>"C:\TOC3201\Methods\Itamar\acid_sample.met"</f>
        <v>C:\TOC3201\Methods\Itamar\acid_sample.met</v>
      </c>
      <c r="F495" t="str">
        <f>"C:\TOC3201\CalCurves\Itamar\C_cal_100ppm_acid_laurel.2019_08_21_13_17_46.cal"</f>
        <v>C:\TOC3201\CalCurves\Itamar\C_cal_100ppm_acid_laurel.2019_08_21_13_17_46.cal</v>
      </c>
      <c r="G495">
        <v>1</v>
      </c>
      <c r="H495" t="str">
        <f>""</f>
        <v/>
      </c>
      <c r="I495" t="str">
        <f>"8/22/2019 1:34:54 PM"</f>
        <v>8/22/2019 1:34:54 PM</v>
      </c>
      <c r="J495" t="str">
        <f>"1"</f>
        <v>1</v>
      </c>
      <c r="K495" t="str">
        <f>"2"</f>
        <v>2</v>
      </c>
      <c r="L495" t="str">
        <f>"NPOC"</f>
        <v>NPOC</v>
      </c>
      <c r="M495" t="str">
        <f>"0.2392"</f>
        <v>0.2392</v>
      </c>
      <c r="N495" t="str">
        <f>"-0.2760"</f>
        <v>-0.2760</v>
      </c>
      <c r="O495" t="str">
        <f>"NPOC:-0.2616mg/L TN:0.1544mg/L"</f>
        <v>NPOC:-0.2616mg/L TN:0.1544mg/L</v>
      </c>
      <c r="P495">
        <v>0</v>
      </c>
      <c r="Q495" t="str">
        <f>"80"</f>
        <v>80</v>
      </c>
    </row>
    <row r="496" spans="1:17" x14ac:dyDescent="0.2">
      <c r="A496" t="str">
        <f>"Unknown"</f>
        <v>Unknown</v>
      </c>
      <c r="B496" t="str">
        <f>"NPOC/TN"</f>
        <v>NPOC/TN</v>
      </c>
      <c r="C496" t="str">
        <f>"DI"</f>
        <v>DI</v>
      </c>
      <c r="D496" t="str">
        <f>"DI"</f>
        <v>DI</v>
      </c>
      <c r="E496" t="str">
        <f>"C:\TOC3201\Methods\Itamar\acid_sample.met"</f>
        <v>C:\TOC3201\Methods\Itamar\acid_sample.met</v>
      </c>
      <c r="F496" t="str">
        <f>"C:\TOC3201\CalCurves\Itamar\C_cal_100ppm_acid_laurel.2019_08_21_13_17_46.cal"</f>
        <v>C:\TOC3201\CalCurves\Itamar\C_cal_100ppm_acid_laurel.2019_08_21_13_17_46.cal</v>
      </c>
      <c r="G496">
        <v>1</v>
      </c>
      <c r="H496" t="str">
        <f>""</f>
        <v/>
      </c>
      <c r="I496" t="str">
        <f>"8/22/2019 1:37:09 PM"</f>
        <v>8/22/2019 1:37:09 PM</v>
      </c>
      <c r="J496" t="str">
        <f>"1"</f>
        <v>1</v>
      </c>
      <c r="K496" t="str">
        <f>"3"</f>
        <v>3</v>
      </c>
      <c r="L496" t="str">
        <f>"NPOC"</f>
        <v>NPOC</v>
      </c>
      <c r="M496" t="str">
        <f>"0.3676"</f>
        <v>0.3676</v>
      </c>
      <c r="N496" t="str">
        <f>"-0.2497"</f>
        <v>-0.2497</v>
      </c>
      <c r="O496" t="str">
        <f>"NPOC:-0.2616mg/L TN:0.1544mg/L"</f>
        <v>NPOC:-0.2616mg/L TN:0.1544mg/L</v>
      </c>
      <c r="P496">
        <v>0</v>
      </c>
      <c r="Q496" t="str">
        <f>"80"</f>
        <v>80</v>
      </c>
    </row>
    <row r="497" spans="1:17" x14ac:dyDescent="0.2">
      <c r="A497" t="str">
        <f>"Unknown"</f>
        <v>Unknown</v>
      </c>
      <c r="B497" t="str">
        <f>"NPOC/TN"</f>
        <v>NPOC/TN</v>
      </c>
      <c r="C497" t="str">
        <f>"DI"</f>
        <v>DI</v>
      </c>
      <c r="D497" t="str">
        <f>"DI"</f>
        <v>DI</v>
      </c>
      <c r="E497" t="str">
        <f>"C:\TOC3201\Methods\Itamar\acid_sample.met"</f>
        <v>C:\TOC3201\Methods\Itamar\acid_sample.met</v>
      </c>
      <c r="F497" t="str">
        <f>"C:\TOC3201\CalCurves\Itamar\C_cal_100ppm_acid_laurel.2019_08_21_13_17_46.cal"</f>
        <v>C:\TOC3201\CalCurves\Itamar\C_cal_100ppm_acid_laurel.2019_08_21_13_17_46.cal</v>
      </c>
      <c r="G497">
        <v>1</v>
      </c>
      <c r="H497" t="str">
        <f>""</f>
        <v/>
      </c>
      <c r="I497" t="str">
        <f>"8/22/2019 1:39:30 PM"</f>
        <v>8/22/2019 1:39:30 PM</v>
      </c>
      <c r="J497" t="str">
        <f>"1"</f>
        <v>1</v>
      </c>
      <c r="K497" t="str">
        <f>"4"</f>
        <v>4</v>
      </c>
      <c r="L497" t="str">
        <f>"NPOC"</f>
        <v>NPOC</v>
      </c>
      <c r="M497" t="str">
        <f>"0.3224"</f>
        <v>0.3224</v>
      </c>
      <c r="N497" t="str">
        <f>"-0.2590"</f>
        <v>-0.2590</v>
      </c>
      <c r="O497" t="str">
        <f>"NPOC:-0.2616mg/L TN:0.1544mg/L"</f>
        <v>NPOC:-0.2616mg/L TN:0.1544mg/L</v>
      </c>
      <c r="P497">
        <v>0</v>
      </c>
      <c r="Q497" t="str">
        <f>"80"</f>
        <v>80</v>
      </c>
    </row>
    <row r="498" spans="1:17" x14ac:dyDescent="0.2">
      <c r="A498" t="str">
        <f>"Unknown"</f>
        <v>Unknown</v>
      </c>
      <c r="B498" t="str">
        <f>"NPOC/TN"</f>
        <v>NPOC/TN</v>
      </c>
      <c r="C498" t="str">
        <f>"DI"</f>
        <v>DI</v>
      </c>
      <c r="D498" t="str">
        <f>"DI"</f>
        <v>DI</v>
      </c>
      <c r="E498" t="str">
        <f>"C:\TOC3201\Methods\Itamar\acid_sample.met"</f>
        <v>C:\TOC3201\Methods\Itamar\acid_sample.met</v>
      </c>
      <c r="F498" t="str">
        <f>"C:\TOC3201\CalCurves\Itamar\N_cal_25ppm_acid_laurel.2019_08_21_15_23_49.cal"</f>
        <v>C:\TOC3201\CalCurves\Itamar\N_cal_25ppm_acid_laurel.2019_08_21_15_23_49.cal</v>
      </c>
      <c r="G498">
        <v>1</v>
      </c>
      <c r="H498" t="str">
        <f>""</f>
        <v/>
      </c>
      <c r="I498" t="str">
        <f>"8/22/2019 1:32:35 PM"</f>
        <v>8/22/2019 1:32:35 PM</v>
      </c>
      <c r="J498" t="str">
        <f>"1"</f>
        <v>1</v>
      </c>
      <c r="K498" t="str">
        <f>"1"</f>
        <v>1</v>
      </c>
      <c r="L498" t="str">
        <f>"TN"</f>
        <v>TN</v>
      </c>
      <c r="M498" t="str">
        <f>"0.000"</f>
        <v>0.000</v>
      </c>
      <c r="N498" t="str">
        <f>"0.1544"</f>
        <v>0.1544</v>
      </c>
      <c r="O498" t="str">
        <f>"NPOC:-0.2616mg/L TN:0.1544mg/L"</f>
        <v>NPOC:-0.2616mg/L TN:0.1544mg/L</v>
      </c>
      <c r="P498">
        <v>0</v>
      </c>
      <c r="Q498" t="str">
        <f>"80"</f>
        <v>80</v>
      </c>
    </row>
    <row r="499" spans="1:17" x14ac:dyDescent="0.2">
      <c r="A499" t="str">
        <f>"Unknown"</f>
        <v>Unknown</v>
      </c>
      <c r="B499" t="str">
        <f>"NPOC/TN"</f>
        <v>NPOC/TN</v>
      </c>
      <c r="C499" t="str">
        <f>"DI"</f>
        <v>DI</v>
      </c>
      <c r="D499" t="str">
        <f>"DI"</f>
        <v>DI</v>
      </c>
      <c r="E499" t="str">
        <f>"C:\TOC3201\Methods\Itamar\acid_sample.met"</f>
        <v>C:\TOC3201\Methods\Itamar\acid_sample.met</v>
      </c>
      <c r="F499" t="str">
        <f>"C:\TOC3201\CalCurves\Itamar\N_cal_25ppm_acid_laurel.2019_08_21_15_23_49.cal"</f>
        <v>C:\TOC3201\CalCurves\Itamar\N_cal_25ppm_acid_laurel.2019_08_21_15_23_49.cal</v>
      </c>
      <c r="G499">
        <v>1</v>
      </c>
      <c r="H499" t="str">
        <f>""</f>
        <v/>
      </c>
      <c r="I499" t="str">
        <f>"8/22/2019 1:34:54 PM"</f>
        <v>8/22/2019 1:34:54 PM</v>
      </c>
      <c r="J499" t="str">
        <f>"1"</f>
        <v>1</v>
      </c>
      <c r="K499" t="str">
        <f>"2"</f>
        <v>2</v>
      </c>
      <c r="L499" t="str">
        <f>"TN"</f>
        <v>TN</v>
      </c>
      <c r="M499" t="str">
        <f>"0.000"</f>
        <v>0.000</v>
      </c>
      <c r="N499" t="str">
        <f>"0.1544"</f>
        <v>0.1544</v>
      </c>
      <c r="O499" t="str">
        <f>"NPOC:-0.2616mg/L TN:0.1544mg/L"</f>
        <v>NPOC:-0.2616mg/L TN:0.1544mg/L</v>
      </c>
      <c r="P499">
        <v>0</v>
      </c>
      <c r="Q499" t="str">
        <f>"80"</f>
        <v>80</v>
      </c>
    </row>
    <row r="500" spans="1:17" x14ac:dyDescent="0.2">
      <c r="A500" t="str">
        <f>"Unknown"</f>
        <v>Unknown</v>
      </c>
      <c r="B500" t="str">
        <f>"NPOC/TN"</f>
        <v>NPOC/TN</v>
      </c>
      <c r="C500" t="str">
        <f>"DI"</f>
        <v>DI</v>
      </c>
      <c r="D500" t="str">
        <f>"DI"</f>
        <v>DI</v>
      </c>
      <c r="E500" t="str">
        <f>"C:\TOC3201\Methods\Itamar\acid_sample.met"</f>
        <v>C:\TOC3201\Methods\Itamar\acid_sample.met</v>
      </c>
      <c r="F500" t="str">
        <f>"C:\TOC3201\CalCurves\Itamar\N_cal_25ppm_acid_laurel.2019_08_21_15_23_49.cal"</f>
        <v>C:\TOC3201\CalCurves\Itamar\N_cal_25ppm_acid_laurel.2019_08_21_15_23_49.cal</v>
      </c>
      <c r="G500">
        <v>1</v>
      </c>
      <c r="H500" t="str">
        <f>""</f>
        <v/>
      </c>
      <c r="I500" t="str">
        <f>"8/22/2019 1:37:09 PM"</f>
        <v>8/22/2019 1:37:09 PM</v>
      </c>
      <c r="J500" t="str">
        <f>"1"</f>
        <v>1</v>
      </c>
      <c r="K500" t="str">
        <f>"3"</f>
        <v>3</v>
      </c>
      <c r="L500" t="str">
        <f>"TN"</f>
        <v>TN</v>
      </c>
      <c r="M500" t="str">
        <f>"0.000"</f>
        <v>0.000</v>
      </c>
      <c r="N500" t="str">
        <f>"0.1544"</f>
        <v>0.1544</v>
      </c>
      <c r="O500" t="str">
        <f>"NPOC:-0.2616mg/L TN:0.1544mg/L"</f>
        <v>NPOC:-0.2616mg/L TN:0.1544mg/L</v>
      </c>
      <c r="P500">
        <v>0</v>
      </c>
      <c r="Q500" t="str">
        <f>"80"</f>
        <v>80</v>
      </c>
    </row>
    <row r="501" spans="1:17" x14ac:dyDescent="0.2">
      <c r="A501" t="str">
        <f>"Unknown"</f>
        <v>Unknown</v>
      </c>
      <c r="B501" t="str">
        <f>"NPOC/TN"</f>
        <v>NPOC/TN</v>
      </c>
      <c r="C501" t="str">
        <f>"25ppm"</f>
        <v>25ppm</v>
      </c>
      <c r="D501" t="str">
        <f>"25ppm"</f>
        <v>25ppm</v>
      </c>
      <c r="E501" t="str">
        <f>"C:\TOC3201\Methods\Itamar\acid_sample.met"</f>
        <v>C:\TOC3201\Methods\Itamar\acid_sample.met</v>
      </c>
      <c r="F501" t="str">
        <f>"C:\TOC3201\CalCurves\Itamar\C_cal_100ppm_acid_laurel.2019_08_21_13_17_46.cal"</f>
        <v>C:\TOC3201\CalCurves\Itamar\C_cal_100ppm_acid_laurel.2019_08_21_13_17_46.cal</v>
      </c>
      <c r="G501">
        <v>1</v>
      </c>
      <c r="H501" t="str">
        <f>""</f>
        <v/>
      </c>
      <c r="I501" t="str">
        <f>"8/22/2019 1:50:24 PM"</f>
        <v>8/22/2019 1:50:24 PM</v>
      </c>
      <c r="J501" t="str">
        <f>"1"</f>
        <v>1</v>
      </c>
      <c r="K501" t="str">
        <f>"1"</f>
        <v>1</v>
      </c>
      <c r="L501" t="str">
        <f>"NPOC"</f>
        <v>NPOC</v>
      </c>
      <c r="M501" t="str">
        <f>"33.04"</f>
        <v>33.04</v>
      </c>
      <c r="N501" t="str">
        <f>"25.72"</f>
        <v>25.72</v>
      </c>
      <c r="O501" t="str">
        <f>"NPOC:22.36mg/L TN:25.40mg/L"</f>
        <v>NPOC:22.36mg/L TN:25.40mg/L</v>
      </c>
      <c r="P501">
        <v>1</v>
      </c>
      <c r="Q501" t="str">
        <f>"80"</f>
        <v>80</v>
      </c>
    </row>
    <row r="502" spans="1:17" x14ac:dyDescent="0.2">
      <c r="A502" t="str">
        <f>"Unknown"</f>
        <v>Unknown</v>
      </c>
      <c r="B502" t="str">
        <f>"NPOC/TN"</f>
        <v>NPOC/TN</v>
      </c>
      <c r="C502" t="str">
        <f>"25ppm"</f>
        <v>25ppm</v>
      </c>
      <c r="D502" t="str">
        <f>"25ppm"</f>
        <v>25ppm</v>
      </c>
      <c r="E502" t="str">
        <f>"C:\TOC3201\Methods\Itamar\acid_sample.met"</f>
        <v>C:\TOC3201\Methods\Itamar\acid_sample.met</v>
      </c>
      <c r="F502" t="str">
        <f>"C:\TOC3201\CalCurves\Itamar\C_cal_100ppm_acid_laurel.2019_08_21_13_17_46.cal"</f>
        <v>C:\TOC3201\CalCurves\Itamar\C_cal_100ppm_acid_laurel.2019_08_21_13_17_46.cal</v>
      </c>
      <c r="G502">
        <v>1</v>
      </c>
      <c r="H502" t="str">
        <f>""</f>
        <v/>
      </c>
      <c r="I502" t="str">
        <f>"8/22/2019 1:54:06 PM"</f>
        <v>8/22/2019 1:54:06 PM</v>
      </c>
      <c r="J502" t="str">
        <f>"1"</f>
        <v>1</v>
      </c>
      <c r="K502" t="str">
        <f>"2"</f>
        <v>2</v>
      </c>
      <c r="L502" t="str">
        <f>"NPOC"</f>
        <v>NPOC</v>
      </c>
      <c r="M502" t="str">
        <f>"28.34"</f>
        <v>28.34</v>
      </c>
      <c r="N502" t="str">
        <f>"21.88"</f>
        <v>21.88</v>
      </c>
      <c r="O502" t="str">
        <f>"NPOC:22.36mg/L TN:25.40mg/L"</f>
        <v>NPOC:22.36mg/L TN:25.40mg/L</v>
      </c>
      <c r="P502">
        <v>0</v>
      </c>
      <c r="Q502" t="str">
        <f>"80"</f>
        <v>80</v>
      </c>
    </row>
    <row r="503" spans="1:17" x14ac:dyDescent="0.2">
      <c r="A503" t="str">
        <f>"Unknown"</f>
        <v>Unknown</v>
      </c>
      <c r="B503" t="str">
        <f>"NPOC/TN"</f>
        <v>NPOC/TN</v>
      </c>
      <c r="C503" t="str">
        <f>"25ppm"</f>
        <v>25ppm</v>
      </c>
      <c r="D503" t="str">
        <f>"25ppm"</f>
        <v>25ppm</v>
      </c>
      <c r="E503" t="str">
        <f>"C:\TOC3201\Methods\Itamar\acid_sample.met"</f>
        <v>C:\TOC3201\Methods\Itamar\acid_sample.met</v>
      </c>
      <c r="F503" t="str">
        <f>"C:\TOC3201\CalCurves\Itamar\C_cal_100ppm_acid_laurel.2019_08_21_13_17_46.cal"</f>
        <v>C:\TOC3201\CalCurves\Itamar\C_cal_100ppm_acid_laurel.2019_08_21_13_17_46.cal</v>
      </c>
      <c r="G503">
        <v>1</v>
      </c>
      <c r="H503" t="str">
        <f>""</f>
        <v/>
      </c>
      <c r="I503" t="str">
        <f>"8/22/2019 1:58:07 PM"</f>
        <v>8/22/2019 1:58:07 PM</v>
      </c>
      <c r="J503" t="str">
        <f>"1"</f>
        <v>1</v>
      </c>
      <c r="K503" t="str">
        <f>"3"</f>
        <v>3</v>
      </c>
      <c r="L503" t="str">
        <f>"NPOC"</f>
        <v>NPOC</v>
      </c>
      <c r="M503" t="str">
        <f>"30.44"</f>
        <v>30.44</v>
      </c>
      <c r="N503" t="str">
        <f>"23.60"</f>
        <v>23.60</v>
      </c>
      <c r="O503" t="str">
        <f>"NPOC:22.36mg/L TN:25.40mg/L"</f>
        <v>NPOC:22.36mg/L TN:25.40mg/L</v>
      </c>
      <c r="P503">
        <v>1</v>
      </c>
      <c r="Q503" t="str">
        <f>"80"</f>
        <v>80</v>
      </c>
    </row>
    <row r="504" spans="1:17" x14ac:dyDescent="0.2">
      <c r="A504" t="str">
        <f>"Unknown"</f>
        <v>Unknown</v>
      </c>
      <c r="B504" t="str">
        <f>"NPOC/TN"</f>
        <v>NPOC/TN</v>
      </c>
      <c r="C504" t="str">
        <f>"25ppm"</f>
        <v>25ppm</v>
      </c>
      <c r="D504" t="str">
        <f>"25ppm"</f>
        <v>25ppm</v>
      </c>
      <c r="E504" t="str">
        <f>"C:\TOC3201\Methods\Itamar\acid_sample.met"</f>
        <v>C:\TOC3201\Methods\Itamar\acid_sample.met</v>
      </c>
      <c r="F504" t="str">
        <f>"C:\TOC3201\CalCurves\Itamar\C_cal_100ppm_acid_laurel.2019_08_21_13_17_46.cal"</f>
        <v>C:\TOC3201\CalCurves\Itamar\C_cal_100ppm_acid_laurel.2019_08_21_13_17_46.cal</v>
      </c>
      <c r="G504">
        <v>1</v>
      </c>
      <c r="H504" t="str">
        <f>""</f>
        <v/>
      </c>
      <c r="I504" t="str">
        <f>"8/22/2019 2:02:20 PM"</f>
        <v>8/22/2019 2:02:20 PM</v>
      </c>
      <c r="J504" t="str">
        <f>"1"</f>
        <v>1</v>
      </c>
      <c r="K504" t="str">
        <f>"4"</f>
        <v>4</v>
      </c>
      <c r="L504" t="str">
        <f>"NPOC"</f>
        <v>NPOC</v>
      </c>
      <c r="M504" t="str">
        <f>"29.67"</f>
        <v>29.67</v>
      </c>
      <c r="N504" t="str">
        <f>"22.97"</f>
        <v>22.97</v>
      </c>
      <c r="O504" t="str">
        <f>"NPOC:22.36mg/L TN:25.40mg/L"</f>
        <v>NPOC:22.36mg/L TN:25.40mg/L</v>
      </c>
      <c r="P504">
        <v>0</v>
      </c>
      <c r="Q504" t="str">
        <f>"80"</f>
        <v>80</v>
      </c>
    </row>
    <row r="505" spans="1:17" x14ac:dyDescent="0.2">
      <c r="A505" t="str">
        <f>"Unknown"</f>
        <v>Unknown</v>
      </c>
      <c r="B505" t="str">
        <f>"NPOC/TN"</f>
        <v>NPOC/TN</v>
      </c>
      <c r="C505" t="str">
        <f>"25ppm"</f>
        <v>25ppm</v>
      </c>
      <c r="D505" t="str">
        <f>"25ppm"</f>
        <v>25ppm</v>
      </c>
      <c r="E505" t="str">
        <f>"C:\TOC3201\Methods\Itamar\acid_sample.met"</f>
        <v>C:\TOC3201\Methods\Itamar\acid_sample.met</v>
      </c>
      <c r="F505" t="str">
        <f>"C:\TOC3201\CalCurves\Itamar\C_cal_100ppm_acid_laurel.2019_08_21_13_17_46.cal"</f>
        <v>C:\TOC3201\CalCurves\Itamar\C_cal_100ppm_acid_laurel.2019_08_21_13_17_46.cal</v>
      </c>
      <c r="G505">
        <v>1</v>
      </c>
      <c r="H505" t="str">
        <f>""</f>
        <v/>
      </c>
      <c r="I505" t="str">
        <f>"8/22/2019 2:06:09 PM"</f>
        <v>8/22/2019 2:06:09 PM</v>
      </c>
      <c r="J505" t="str">
        <f>"1"</f>
        <v>1</v>
      </c>
      <c r="K505" t="str">
        <f>"5"</f>
        <v>5</v>
      </c>
      <c r="L505" t="str">
        <f>"NPOC"</f>
        <v>NPOC</v>
      </c>
      <c r="M505" t="str">
        <f>"28.78"</f>
        <v>28.78</v>
      </c>
      <c r="N505" t="str">
        <f>"22.24"</f>
        <v>22.24</v>
      </c>
      <c r="O505" t="str">
        <f>"NPOC:22.36mg/L TN:25.40mg/L"</f>
        <v>NPOC:22.36mg/L TN:25.40mg/L</v>
      </c>
      <c r="P505">
        <v>0</v>
      </c>
      <c r="Q505" t="str">
        <f>"80"</f>
        <v>80</v>
      </c>
    </row>
    <row r="506" spans="1:17" x14ac:dyDescent="0.2">
      <c r="A506" t="str">
        <f>"Unknown"</f>
        <v>Unknown</v>
      </c>
      <c r="B506" t="str">
        <f>"NPOC/TN"</f>
        <v>NPOC/TN</v>
      </c>
      <c r="C506" t="str">
        <f>"25ppm"</f>
        <v>25ppm</v>
      </c>
      <c r="D506" t="str">
        <f>"25ppm"</f>
        <v>25ppm</v>
      </c>
      <c r="E506" t="str">
        <f>"C:\TOC3201\Methods\Itamar\acid_sample.met"</f>
        <v>C:\TOC3201\Methods\Itamar\acid_sample.met</v>
      </c>
      <c r="F506" t="str">
        <f>"C:\TOC3201\CalCurves\Itamar\N_cal_25ppm_acid_laurel.2019_08_21_15_23_49.cal"</f>
        <v>C:\TOC3201\CalCurves\Itamar\N_cal_25ppm_acid_laurel.2019_08_21_15_23_49.cal</v>
      </c>
      <c r="G506">
        <v>1</v>
      </c>
      <c r="H506" t="str">
        <f>""</f>
        <v/>
      </c>
      <c r="I506" t="str">
        <f>"8/22/2019 1:50:24 PM"</f>
        <v>8/22/2019 1:50:24 PM</v>
      </c>
      <c r="J506" t="str">
        <f>"1"</f>
        <v>1</v>
      </c>
      <c r="K506" t="str">
        <f>"1"</f>
        <v>1</v>
      </c>
      <c r="L506" t="str">
        <f>"TN"</f>
        <v>TN</v>
      </c>
      <c r="M506" t="str">
        <f>"22.38"</f>
        <v>22.38</v>
      </c>
      <c r="N506" t="str">
        <f>"25.17"</f>
        <v>25.17</v>
      </c>
      <c r="O506" t="str">
        <f>"NPOC:22.36mg/L TN:25.40mg/L"</f>
        <v>NPOC:22.36mg/L TN:25.40mg/L</v>
      </c>
      <c r="P506">
        <v>0</v>
      </c>
      <c r="Q506" t="str">
        <f>"80"</f>
        <v>80</v>
      </c>
    </row>
    <row r="507" spans="1:17" x14ac:dyDescent="0.2">
      <c r="A507" t="str">
        <f>"Unknown"</f>
        <v>Unknown</v>
      </c>
      <c r="B507" t="str">
        <f>"NPOC/TN"</f>
        <v>NPOC/TN</v>
      </c>
      <c r="C507" t="str">
        <f>"25ppm"</f>
        <v>25ppm</v>
      </c>
      <c r="D507" t="str">
        <f>"25ppm"</f>
        <v>25ppm</v>
      </c>
      <c r="E507" t="str">
        <f>"C:\TOC3201\Methods\Itamar\acid_sample.met"</f>
        <v>C:\TOC3201\Methods\Itamar\acid_sample.met</v>
      </c>
      <c r="F507" t="str">
        <f>"C:\TOC3201\CalCurves\Itamar\N_cal_25ppm_acid_laurel.2019_08_21_15_23_49.cal"</f>
        <v>C:\TOC3201\CalCurves\Itamar\N_cal_25ppm_acid_laurel.2019_08_21_15_23_49.cal</v>
      </c>
      <c r="G507">
        <v>1</v>
      </c>
      <c r="H507" t="str">
        <f>""</f>
        <v/>
      </c>
      <c r="I507" t="str">
        <f>"8/22/2019 1:54:06 PM"</f>
        <v>8/22/2019 1:54:06 PM</v>
      </c>
      <c r="J507" t="str">
        <f>"1"</f>
        <v>1</v>
      </c>
      <c r="K507" t="str">
        <f>"2"</f>
        <v>2</v>
      </c>
      <c r="L507" t="str">
        <f>"TN"</f>
        <v>TN</v>
      </c>
      <c r="M507" t="str">
        <f>"21.34"</f>
        <v>21.34</v>
      </c>
      <c r="N507" t="str">
        <f>"24.03"</f>
        <v>24.03</v>
      </c>
      <c r="O507" t="str">
        <f>"NPOC:22.36mg/L TN:25.40mg/L"</f>
        <v>NPOC:22.36mg/L TN:25.40mg/L</v>
      </c>
      <c r="P507">
        <v>1</v>
      </c>
      <c r="Q507" t="str">
        <f>"80"</f>
        <v>80</v>
      </c>
    </row>
    <row r="508" spans="1:17" x14ac:dyDescent="0.2">
      <c r="A508" t="str">
        <f>"Unknown"</f>
        <v>Unknown</v>
      </c>
      <c r="B508" t="str">
        <f>"NPOC/TN"</f>
        <v>NPOC/TN</v>
      </c>
      <c r="C508" t="str">
        <f>"25ppm"</f>
        <v>25ppm</v>
      </c>
      <c r="D508" t="str">
        <f>"25ppm"</f>
        <v>25ppm</v>
      </c>
      <c r="E508" t="str">
        <f>"C:\TOC3201\Methods\Itamar\acid_sample.met"</f>
        <v>C:\TOC3201\Methods\Itamar\acid_sample.met</v>
      </c>
      <c r="F508" t="str">
        <f>"C:\TOC3201\CalCurves\Itamar\N_cal_25ppm_acid_laurel.2019_08_21_15_23_49.cal"</f>
        <v>C:\TOC3201\CalCurves\Itamar\N_cal_25ppm_acid_laurel.2019_08_21_15_23_49.cal</v>
      </c>
      <c r="G508">
        <v>1</v>
      </c>
      <c r="H508" t="str">
        <f>""</f>
        <v/>
      </c>
      <c r="I508" t="str">
        <f>"8/22/2019 1:58:07 PM"</f>
        <v>8/22/2019 1:58:07 PM</v>
      </c>
      <c r="J508" t="str">
        <f>"1"</f>
        <v>1</v>
      </c>
      <c r="K508" t="str">
        <f>"3"</f>
        <v>3</v>
      </c>
      <c r="L508" t="str">
        <f>"TN"</f>
        <v>TN</v>
      </c>
      <c r="M508" t="str">
        <f>"23.76"</f>
        <v>23.76</v>
      </c>
      <c r="N508" t="str">
        <f>"26.68"</f>
        <v>26.68</v>
      </c>
      <c r="O508" t="str">
        <f>"NPOC:22.36mg/L TN:25.40mg/L"</f>
        <v>NPOC:22.36mg/L TN:25.40mg/L</v>
      </c>
      <c r="P508">
        <v>1</v>
      </c>
      <c r="Q508" t="str">
        <f>"80"</f>
        <v>80</v>
      </c>
    </row>
    <row r="509" spans="1:17" x14ac:dyDescent="0.2">
      <c r="A509" t="str">
        <f>"Unknown"</f>
        <v>Unknown</v>
      </c>
      <c r="B509" t="str">
        <f>"NPOC/TN"</f>
        <v>NPOC/TN</v>
      </c>
      <c r="C509" t="str">
        <f>"25ppm"</f>
        <v>25ppm</v>
      </c>
      <c r="D509" t="str">
        <f>"25ppm"</f>
        <v>25ppm</v>
      </c>
      <c r="E509" t="str">
        <f>"C:\TOC3201\Methods\Itamar\acid_sample.met"</f>
        <v>C:\TOC3201\Methods\Itamar\acid_sample.met</v>
      </c>
      <c r="F509" t="str">
        <f>"C:\TOC3201\CalCurves\Itamar\N_cal_25ppm_acid_laurel.2019_08_21_15_23_49.cal"</f>
        <v>C:\TOC3201\CalCurves\Itamar\N_cal_25ppm_acid_laurel.2019_08_21_15_23_49.cal</v>
      </c>
      <c r="G509">
        <v>1</v>
      </c>
      <c r="H509" t="str">
        <f>""</f>
        <v/>
      </c>
      <c r="I509" t="str">
        <f>"8/22/2019 2:02:20 PM"</f>
        <v>8/22/2019 2:02:20 PM</v>
      </c>
      <c r="J509" t="str">
        <f>"1"</f>
        <v>1</v>
      </c>
      <c r="K509" t="str">
        <f>"4"</f>
        <v>4</v>
      </c>
      <c r="L509" t="str">
        <f>"TN"</f>
        <v>TN</v>
      </c>
      <c r="M509" t="str">
        <f>"22.93"</f>
        <v>22.93</v>
      </c>
      <c r="N509" t="str">
        <f>"25.77"</f>
        <v>25.77</v>
      </c>
      <c r="O509" t="str">
        <f>"NPOC:22.36mg/L TN:25.40mg/L"</f>
        <v>NPOC:22.36mg/L TN:25.40mg/L</v>
      </c>
      <c r="P509">
        <v>0</v>
      </c>
      <c r="Q509" t="str">
        <f>"80"</f>
        <v>80</v>
      </c>
    </row>
    <row r="510" spans="1:17" x14ac:dyDescent="0.2">
      <c r="A510" t="str">
        <f>"Unknown"</f>
        <v>Unknown</v>
      </c>
      <c r="B510" t="str">
        <f>"NPOC/TN"</f>
        <v>NPOC/TN</v>
      </c>
      <c r="C510" t="str">
        <f>"25ppm"</f>
        <v>25ppm</v>
      </c>
      <c r="D510" t="str">
        <f>"25ppm"</f>
        <v>25ppm</v>
      </c>
      <c r="E510" t="str">
        <f>"C:\TOC3201\Methods\Itamar\acid_sample.met"</f>
        <v>C:\TOC3201\Methods\Itamar\acid_sample.met</v>
      </c>
      <c r="F510" t="str">
        <f>"C:\TOC3201\CalCurves\Itamar\N_cal_25ppm_acid_laurel.2019_08_21_15_23_49.cal"</f>
        <v>C:\TOC3201\CalCurves\Itamar\N_cal_25ppm_acid_laurel.2019_08_21_15_23_49.cal</v>
      </c>
      <c r="G510">
        <v>1</v>
      </c>
      <c r="H510" t="str">
        <f>""</f>
        <v/>
      </c>
      <c r="I510" t="str">
        <f>"8/22/2019 2:06:09 PM"</f>
        <v>8/22/2019 2:06:09 PM</v>
      </c>
      <c r="J510" t="str">
        <f>"1"</f>
        <v>1</v>
      </c>
      <c r="K510" t="str">
        <f>"5"</f>
        <v>5</v>
      </c>
      <c r="L510" t="str">
        <f>"TN"</f>
        <v>TN</v>
      </c>
      <c r="M510" t="str">
        <f>"22.47"</f>
        <v>22.47</v>
      </c>
      <c r="N510" t="str">
        <f>"25.27"</f>
        <v>25.27</v>
      </c>
      <c r="O510" t="str">
        <f>"NPOC:22.36mg/L TN:25.40mg/L"</f>
        <v>NPOC:22.36mg/L TN:25.40mg/L</v>
      </c>
      <c r="P510">
        <v>0</v>
      </c>
      <c r="Q510" t="str">
        <f>"80"</f>
        <v>80</v>
      </c>
    </row>
    <row r="511" spans="1:17" x14ac:dyDescent="0.2">
      <c r="A511" t="str">
        <f>"Unknown"</f>
        <v>Unknown</v>
      </c>
      <c r="B511" t="str">
        <f>"NPOC/TN"</f>
        <v>NPOC/TN</v>
      </c>
      <c r="C511" t="str">
        <f>"1123"</f>
        <v>1123</v>
      </c>
      <c r="D511" t="str">
        <f>"DI"</f>
        <v>DI</v>
      </c>
      <c r="E511" t="str">
        <f>"C:\TOC3201\Methods\Itamar\acid_sample.met"</f>
        <v>C:\TOC3201\Methods\Itamar\acid_sample.met</v>
      </c>
      <c r="F511" t="str">
        <f>"C:\TOC3201\CalCurves\Itamar\C_cal_100ppm_acid_laurel.2019_08_21_13_17_46.cal"</f>
        <v>C:\TOC3201\CalCurves\Itamar\C_cal_100ppm_acid_laurel.2019_08_21_13_17_46.cal</v>
      </c>
      <c r="G511">
        <v>1</v>
      </c>
      <c r="H511" t="str">
        <f>""</f>
        <v/>
      </c>
      <c r="I511" t="str">
        <f>"8/22/2019 2:15:51 PM"</f>
        <v>8/22/2019 2:15:51 PM</v>
      </c>
      <c r="J511" t="str">
        <f>"1"</f>
        <v>1</v>
      </c>
      <c r="K511" t="str">
        <f>"1"</f>
        <v>1</v>
      </c>
      <c r="L511" t="str">
        <f>"NPOC"</f>
        <v>NPOC</v>
      </c>
      <c r="M511" t="str">
        <f>"16.56"</f>
        <v>16.56</v>
      </c>
      <c r="N511" t="str">
        <f>"3.061"</f>
        <v>3.061</v>
      </c>
      <c r="O511" t="str">
        <f>"NPOC:3.073mg/L TN:0.5587mg/L"</f>
        <v>NPOC:3.073mg/L TN:0.5587mg/L</v>
      </c>
      <c r="P511">
        <v>0</v>
      </c>
      <c r="Q511" t="str">
        <f>"80"</f>
        <v>80</v>
      </c>
    </row>
    <row r="512" spans="1:17" x14ac:dyDescent="0.2">
      <c r="A512" t="str">
        <f>"Unknown"</f>
        <v>Unknown</v>
      </c>
      <c r="B512" t="str">
        <f>"NPOC/TN"</f>
        <v>NPOC/TN</v>
      </c>
      <c r="C512" t="str">
        <f>"1123"</f>
        <v>1123</v>
      </c>
      <c r="D512" t="str">
        <f>"DI"</f>
        <v>DI</v>
      </c>
      <c r="E512" t="str">
        <f>"C:\TOC3201\Methods\Itamar\acid_sample.met"</f>
        <v>C:\TOC3201\Methods\Itamar\acid_sample.met</v>
      </c>
      <c r="F512" t="str">
        <f>"C:\TOC3201\CalCurves\Itamar\C_cal_100ppm_acid_laurel.2019_08_21_13_17_46.cal"</f>
        <v>C:\TOC3201\CalCurves\Itamar\C_cal_100ppm_acid_laurel.2019_08_21_13_17_46.cal</v>
      </c>
      <c r="G512">
        <v>1</v>
      </c>
      <c r="H512" t="str">
        <f>""</f>
        <v/>
      </c>
      <c r="I512" t="str">
        <f>"8/22/2019 2:19:00 PM"</f>
        <v>8/22/2019 2:19:00 PM</v>
      </c>
      <c r="J512" t="str">
        <f>"1"</f>
        <v>1</v>
      </c>
      <c r="K512" t="str">
        <f>"2"</f>
        <v>2</v>
      </c>
      <c r="L512" t="str">
        <f>"NPOC"</f>
        <v>NPOC</v>
      </c>
      <c r="M512" t="str">
        <f>"16.46"</f>
        <v>16.46</v>
      </c>
      <c r="N512" t="str">
        <f>"3.040"</f>
        <v>3.040</v>
      </c>
      <c r="O512" t="str">
        <f>"NPOC:3.073mg/L TN:0.5587mg/L"</f>
        <v>NPOC:3.073mg/L TN:0.5587mg/L</v>
      </c>
      <c r="P512">
        <v>0</v>
      </c>
      <c r="Q512" t="str">
        <f>"80"</f>
        <v>80</v>
      </c>
    </row>
    <row r="513" spans="1:17" x14ac:dyDescent="0.2">
      <c r="A513" t="str">
        <f>"Unknown"</f>
        <v>Unknown</v>
      </c>
      <c r="B513" t="str">
        <f>"NPOC/TN"</f>
        <v>NPOC/TN</v>
      </c>
      <c r="C513" t="str">
        <f>"1123"</f>
        <v>1123</v>
      </c>
      <c r="D513" t="str">
        <f>"DI"</f>
        <v>DI</v>
      </c>
      <c r="E513" t="str">
        <f>"C:\TOC3201\Methods\Itamar\acid_sample.met"</f>
        <v>C:\TOC3201\Methods\Itamar\acid_sample.met</v>
      </c>
      <c r="F513" t="str">
        <f>"C:\TOC3201\CalCurves\Itamar\C_cal_100ppm_acid_laurel.2019_08_21_13_17_46.cal"</f>
        <v>C:\TOC3201\CalCurves\Itamar\C_cal_100ppm_acid_laurel.2019_08_21_13_17_46.cal</v>
      </c>
      <c r="G513">
        <v>1</v>
      </c>
      <c r="H513" t="str">
        <f>""</f>
        <v/>
      </c>
      <c r="I513" t="str">
        <f>"8/22/2019 2:22:06 PM"</f>
        <v>8/22/2019 2:22:06 PM</v>
      </c>
      <c r="J513" t="str">
        <f>"1"</f>
        <v>1</v>
      </c>
      <c r="K513" t="str">
        <f>"3"</f>
        <v>3</v>
      </c>
      <c r="L513" t="str">
        <f>"NPOC"</f>
        <v>NPOC</v>
      </c>
      <c r="M513" t="str">
        <f>"16.84"</f>
        <v>16.84</v>
      </c>
      <c r="N513" t="str">
        <f>"3.118"</f>
        <v>3.118</v>
      </c>
      <c r="O513" t="str">
        <f>"NPOC:3.073mg/L TN:0.5587mg/L"</f>
        <v>NPOC:3.073mg/L TN:0.5587mg/L</v>
      </c>
      <c r="P513">
        <v>0</v>
      </c>
      <c r="Q513" t="str">
        <f>"80"</f>
        <v>80</v>
      </c>
    </row>
    <row r="514" spans="1:17" x14ac:dyDescent="0.2">
      <c r="A514" t="str">
        <f>"Unknown"</f>
        <v>Unknown</v>
      </c>
      <c r="B514" t="str">
        <f>"NPOC/TN"</f>
        <v>NPOC/TN</v>
      </c>
      <c r="C514" t="str">
        <f>"1123"</f>
        <v>1123</v>
      </c>
      <c r="D514" t="str">
        <f>"DI"</f>
        <v>DI</v>
      </c>
      <c r="E514" t="str">
        <f>"C:\TOC3201\Methods\Itamar\acid_sample.met"</f>
        <v>C:\TOC3201\Methods\Itamar\acid_sample.met</v>
      </c>
      <c r="F514" t="str">
        <f>"C:\TOC3201\CalCurves\Itamar\N_cal_25ppm_acid_laurel.2019_08_21_15_23_49.cal"</f>
        <v>C:\TOC3201\CalCurves\Itamar\N_cal_25ppm_acid_laurel.2019_08_21_15_23_49.cal</v>
      </c>
      <c r="G514">
        <v>1</v>
      </c>
      <c r="H514" t="str">
        <f>""</f>
        <v/>
      </c>
      <c r="I514" t="str">
        <f>"8/22/2019 2:15:51 PM"</f>
        <v>8/22/2019 2:15:51 PM</v>
      </c>
      <c r="J514" t="str">
        <f>"1"</f>
        <v>1</v>
      </c>
      <c r="K514" t="str">
        <f>"1"</f>
        <v>1</v>
      </c>
      <c r="L514" t="str">
        <f>"TN"</f>
        <v>TN</v>
      </c>
      <c r="M514" t="str">
        <f>"1.577"</f>
        <v>1.577</v>
      </c>
      <c r="N514" t="str">
        <f>"0.5869"</f>
        <v>0.5869</v>
      </c>
      <c r="O514" t="str">
        <f>"NPOC:3.073mg/L TN:0.5587mg/L"</f>
        <v>NPOC:3.073mg/L TN:0.5587mg/L</v>
      </c>
      <c r="P514">
        <v>0</v>
      </c>
      <c r="Q514" t="str">
        <f>"80"</f>
        <v>80</v>
      </c>
    </row>
    <row r="515" spans="1:17" x14ac:dyDescent="0.2">
      <c r="A515" t="str">
        <f>"Unknown"</f>
        <v>Unknown</v>
      </c>
      <c r="B515" t="str">
        <f>"NPOC/TN"</f>
        <v>NPOC/TN</v>
      </c>
      <c r="C515" t="str">
        <f>"1123"</f>
        <v>1123</v>
      </c>
      <c r="D515" t="str">
        <f>"DI"</f>
        <v>DI</v>
      </c>
      <c r="E515" t="str">
        <f>"C:\TOC3201\Methods\Itamar\acid_sample.met"</f>
        <v>C:\TOC3201\Methods\Itamar\acid_sample.met</v>
      </c>
      <c r="F515" t="str">
        <f>"C:\TOC3201\CalCurves\Itamar\N_cal_25ppm_acid_laurel.2019_08_21_15_23_49.cal"</f>
        <v>C:\TOC3201\CalCurves\Itamar\N_cal_25ppm_acid_laurel.2019_08_21_15_23_49.cal</v>
      </c>
      <c r="G515">
        <v>1</v>
      </c>
      <c r="H515" t="str">
        <f>""</f>
        <v/>
      </c>
      <c r="I515" t="str">
        <f>"8/22/2019 2:19:00 PM"</f>
        <v>8/22/2019 2:19:00 PM</v>
      </c>
      <c r="J515" t="str">
        <f>"1"</f>
        <v>1</v>
      </c>
      <c r="K515" t="str">
        <f>"2"</f>
        <v>2</v>
      </c>
      <c r="L515" t="str">
        <f>"TN"</f>
        <v>TN</v>
      </c>
      <c r="M515" t="str">
        <f>"1.405"</f>
        <v>1.405</v>
      </c>
      <c r="N515" t="str">
        <f>"0.5397"</f>
        <v>0.5397</v>
      </c>
      <c r="O515" t="str">
        <f>"NPOC:3.073mg/L TN:0.5587mg/L"</f>
        <v>NPOC:3.073mg/L TN:0.5587mg/L</v>
      </c>
      <c r="P515">
        <v>0</v>
      </c>
      <c r="Q515" t="str">
        <f>"80"</f>
        <v>80</v>
      </c>
    </row>
    <row r="516" spans="1:17" x14ac:dyDescent="0.2">
      <c r="A516" t="str">
        <f>"Unknown"</f>
        <v>Unknown</v>
      </c>
      <c r="B516" t="str">
        <f>"NPOC/TN"</f>
        <v>NPOC/TN</v>
      </c>
      <c r="C516" t="str">
        <f>"1123"</f>
        <v>1123</v>
      </c>
      <c r="D516" t="str">
        <f>"DI"</f>
        <v>DI</v>
      </c>
      <c r="E516" t="str">
        <f>"C:\TOC3201\Methods\Itamar\acid_sample.met"</f>
        <v>C:\TOC3201\Methods\Itamar\acid_sample.met</v>
      </c>
      <c r="F516" t="str">
        <f>"C:\TOC3201\CalCurves\Itamar\N_cal_25ppm_acid_laurel.2019_08_21_15_23_49.cal"</f>
        <v>C:\TOC3201\CalCurves\Itamar\N_cal_25ppm_acid_laurel.2019_08_21_15_23_49.cal</v>
      </c>
      <c r="G516">
        <v>1</v>
      </c>
      <c r="H516" t="str">
        <f>""</f>
        <v/>
      </c>
      <c r="I516" t="str">
        <f>"8/22/2019 2:22:06 PM"</f>
        <v>8/22/2019 2:22:06 PM</v>
      </c>
      <c r="J516" t="str">
        <f>"1"</f>
        <v>1</v>
      </c>
      <c r="K516" t="str">
        <f>"3"</f>
        <v>3</v>
      </c>
      <c r="L516" t="str">
        <f>"TN"</f>
        <v>TN</v>
      </c>
      <c r="M516" t="str">
        <f>"1.671"</f>
        <v>1.671</v>
      </c>
      <c r="N516" t="str">
        <f>"0.6127"</f>
        <v>0.6127</v>
      </c>
      <c r="O516" t="str">
        <f>"NPOC:3.073mg/L TN:0.5587mg/L"</f>
        <v>NPOC:3.073mg/L TN:0.5587mg/L</v>
      </c>
      <c r="P516">
        <v>1</v>
      </c>
      <c r="Q516" t="str">
        <f>"80"</f>
        <v>80</v>
      </c>
    </row>
    <row r="517" spans="1:17" x14ac:dyDescent="0.2">
      <c r="A517" t="str">
        <f>"Unknown"</f>
        <v>Unknown</v>
      </c>
      <c r="B517" t="str">
        <f>"NPOC/TN"</f>
        <v>NPOC/TN</v>
      </c>
      <c r="C517" t="str">
        <f>"1123"</f>
        <v>1123</v>
      </c>
      <c r="D517" t="str">
        <f>"DI"</f>
        <v>DI</v>
      </c>
      <c r="E517" t="str">
        <f>"C:\TOC3201\Methods\Itamar\acid_sample.met"</f>
        <v>C:\TOC3201\Methods\Itamar\acid_sample.met</v>
      </c>
      <c r="F517" t="str">
        <f>"C:\TOC3201\CalCurves\Itamar\N_cal_25ppm_acid_laurel.2019_08_21_15_23_49.cal"</f>
        <v>C:\TOC3201\CalCurves\Itamar\N_cal_25ppm_acid_laurel.2019_08_21_15_23_49.cal</v>
      </c>
      <c r="G517">
        <v>1</v>
      </c>
      <c r="H517" t="str">
        <f>""</f>
        <v/>
      </c>
      <c r="I517" t="str">
        <f>"8/22/2019 2:25:02 PM"</f>
        <v>8/22/2019 2:25:02 PM</v>
      </c>
      <c r="J517" t="str">
        <f>"1"</f>
        <v>1</v>
      </c>
      <c r="K517" t="str">
        <f>"4"</f>
        <v>4</v>
      </c>
      <c r="L517" t="str">
        <f>"TN"</f>
        <v>TN</v>
      </c>
      <c r="M517" t="str">
        <f>"1.440"</f>
        <v>1.440</v>
      </c>
      <c r="N517" t="str">
        <f>"0.5493"</f>
        <v>0.5493</v>
      </c>
      <c r="O517" t="str">
        <f>"NPOC:3.073mg/L TN:0.5587mg/L"</f>
        <v>NPOC:3.073mg/L TN:0.5587mg/L</v>
      </c>
      <c r="P517">
        <v>0</v>
      </c>
      <c r="Q517" t="str">
        <f>"80"</f>
        <v>80</v>
      </c>
    </row>
    <row r="518" spans="1:17" x14ac:dyDescent="0.2">
      <c r="A518" t="str">
        <f>"Unknown"</f>
        <v>Unknown</v>
      </c>
      <c r="B518" t="str">
        <f>"NPOC/TN"</f>
        <v>NPOC/TN</v>
      </c>
      <c r="C518" t="str">
        <f>"1125"</f>
        <v>1125</v>
      </c>
      <c r="D518" t="str">
        <f>"DI"</f>
        <v>DI</v>
      </c>
      <c r="E518" t="str">
        <f>"C:\TOC3201\Methods\Itamar\acid_sample.met"</f>
        <v>C:\TOC3201\Methods\Itamar\acid_sample.met</v>
      </c>
      <c r="F518" t="str">
        <f>"C:\TOC3201\CalCurves\Itamar\C_cal_100ppm_acid_laurel.2019_08_21_13_17_46.cal"</f>
        <v>C:\TOC3201\CalCurves\Itamar\C_cal_100ppm_acid_laurel.2019_08_21_13_17_46.cal</v>
      </c>
      <c r="G518">
        <v>1</v>
      </c>
      <c r="H518" t="str">
        <f>""</f>
        <v/>
      </c>
      <c r="I518" t="str">
        <f>"8/22/2019 2:35:47 PM"</f>
        <v>8/22/2019 2:35:47 PM</v>
      </c>
      <c r="J518" t="str">
        <f>"1"</f>
        <v>1</v>
      </c>
      <c r="K518" t="str">
        <f>"1"</f>
        <v>1</v>
      </c>
      <c r="L518" t="str">
        <f>"NPOC"</f>
        <v>NPOC</v>
      </c>
      <c r="M518" t="str">
        <f>"23.96"</f>
        <v>23.96</v>
      </c>
      <c r="N518" t="str">
        <f>"4.574"</f>
        <v>4.574</v>
      </c>
      <c r="O518" t="str">
        <f>"NPOC:3.231mg/L TN:0.4276mg/L"</f>
        <v>NPOC:3.231mg/L TN:0.4276mg/L</v>
      </c>
      <c r="P518">
        <v>1</v>
      </c>
      <c r="Q518" t="str">
        <f>"80"</f>
        <v>80</v>
      </c>
    </row>
    <row r="519" spans="1:17" x14ac:dyDescent="0.2">
      <c r="A519" t="str">
        <f>"Unknown"</f>
        <v>Unknown</v>
      </c>
      <c r="B519" t="str">
        <f>"NPOC/TN"</f>
        <v>NPOC/TN</v>
      </c>
      <c r="C519" t="str">
        <f>"1125"</f>
        <v>1125</v>
      </c>
      <c r="D519" t="str">
        <f>"DI"</f>
        <v>DI</v>
      </c>
      <c r="E519" t="str">
        <f>"C:\TOC3201\Methods\Itamar\acid_sample.met"</f>
        <v>C:\TOC3201\Methods\Itamar\acid_sample.met</v>
      </c>
      <c r="F519" t="str">
        <f>"C:\TOC3201\CalCurves\Itamar\C_cal_100ppm_acid_laurel.2019_08_21_13_17_46.cal"</f>
        <v>C:\TOC3201\CalCurves\Itamar\C_cal_100ppm_acid_laurel.2019_08_21_13_17_46.cal</v>
      </c>
      <c r="G519">
        <v>1</v>
      </c>
      <c r="H519" t="str">
        <f>""</f>
        <v/>
      </c>
      <c r="I519" t="str">
        <f>"8/22/2019 2:39:00 PM"</f>
        <v>8/22/2019 2:39:00 PM</v>
      </c>
      <c r="J519" t="str">
        <f>"1"</f>
        <v>1</v>
      </c>
      <c r="K519" t="str">
        <f>"2"</f>
        <v>2</v>
      </c>
      <c r="L519" t="str">
        <f>"NPOC"</f>
        <v>NPOC</v>
      </c>
      <c r="M519" t="str">
        <f>"16.94"</f>
        <v>16.94</v>
      </c>
      <c r="N519" t="str">
        <f>"3.139"</f>
        <v>3.139</v>
      </c>
      <c r="O519" t="str">
        <f>"NPOC:3.231mg/L TN:0.4276mg/L"</f>
        <v>NPOC:3.231mg/L TN:0.4276mg/L</v>
      </c>
      <c r="P519">
        <v>0</v>
      </c>
      <c r="Q519" t="str">
        <f>"80"</f>
        <v>80</v>
      </c>
    </row>
    <row r="520" spans="1:17" x14ac:dyDescent="0.2">
      <c r="A520" t="str">
        <f>"Unknown"</f>
        <v>Unknown</v>
      </c>
      <c r="B520" t="str">
        <f>"NPOC/TN"</f>
        <v>NPOC/TN</v>
      </c>
      <c r="C520" t="str">
        <f>"1125"</f>
        <v>1125</v>
      </c>
      <c r="D520" t="str">
        <f>"DI"</f>
        <v>DI</v>
      </c>
      <c r="E520" t="str">
        <f>"C:\TOC3201\Methods\Itamar\acid_sample.met"</f>
        <v>C:\TOC3201\Methods\Itamar\acid_sample.met</v>
      </c>
      <c r="F520" t="str">
        <f>"C:\TOC3201\CalCurves\Itamar\C_cal_100ppm_acid_laurel.2019_08_21_13_17_46.cal"</f>
        <v>C:\TOC3201\CalCurves\Itamar\C_cal_100ppm_acid_laurel.2019_08_21_13_17_46.cal</v>
      </c>
      <c r="G520">
        <v>1</v>
      </c>
      <c r="H520" t="str">
        <f>""</f>
        <v/>
      </c>
      <c r="I520" t="str">
        <f>"8/22/2019 2:42:16 PM"</f>
        <v>8/22/2019 2:42:16 PM</v>
      </c>
      <c r="J520" t="str">
        <f>"1"</f>
        <v>1</v>
      </c>
      <c r="K520" t="str">
        <f>"3"</f>
        <v>3</v>
      </c>
      <c r="L520" t="str">
        <f>"NPOC"</f>
        <v>NPOC</v>
      </c>
      <c r="M520" t="str">
        <f>"18.35"</f>
        <v>18.35</v>
      </c>
      <c r="N520" t="str">
        <f>"3.427"</f>
        <v>3.427</v>
      </c>
      <c r="O520" t="str">
        <f>"NPOC:3.231mg/L TN:0.4276mg/L"</f>
        <v>NPOC:3.231mg/L TN:0.4276mg/L</v>
      </c>
      <c r="P520">
        <v>1</v>
      </c>
      <c r="Q520" t="str">
        <f>"80"</f>
        <v>80</v>
      </c>
    </row>
    <row r="521" spans="1:17" x14ac:dyDescent="0.2">
      <c r="A521" t="str">
        <f>"Unknown"</f>
        <v>Unknown</v>
      </c>
      <c r="B521" t="str">
        <f>"NPOC/TN"</f>
        <v>NPOC/TN</v>
      </c>
      <c r="C521" t="str">
        <f>"1125"</f>
        <v>1125</v>
      </c>
      <c r="D521" t="str">
        <f>"DI"</f>
        <v>DI</v>
      </c>
      <c r="E521" t="str">
        <f>"C:\TOC3201\Methods\Itamar\acid_sample.met"</f>
        <v>C:\TOC3201\Methods\Itamar\acid_sample.met</v>
      </c>
      <c r="F521" t="str">
        <f>"C:\TOC3201\CalCurves\Itamar\C_cal_100ppm_acid_laurel.2019_08_21_13_17_46.cal"</f>
        <v>C:\TOC3201\CalCurves\Itamar\C_cal_100ppm_acid_laurel.2019_08_21_13_17_46.cal</v>
      </c>
      <c r="G521">
        <v>1</v>
      </c>
      <c r="H521" t="str">
        <f>""</f>
        <v/>
      </c>
      <c r="I521" t="str">
        <f>"8/22/2019 2:45:26 PM"</f>
        <v>8/22/2019 2:45:26 PM</v>
      </c>
      <c r="J521" t="str">
        <f>"1"</f>
        <v>1</v>
      </c>
      <c r="K521" t="str">
        <f>"4"</f>
        <v>4</v>
      </c>
      <c r="L521" t="str">
        <f>"NPOC"</f>
        <v>NPOC</v>
      </c>
      <c r="M521" t="str">
        <f>"17.85"</f>
        <v>17.85</v>
      </c>
      <c r="N521" t="str">
        <f>"3.325"</f>
        <v>3.325</v>
      </c>
      <c r="O521" t="str">
        <f>"NPOC:3.231mg/L TN:0.4276mg/L"</f>
        <v>NPOC:3.231mg/L TN:0.4276mg/L</v>
      </c>
      <c r="P521">
        <v>0</v>
      </c>
      <c r="Q521" t="str">
        <f>"80"</f>
        <v>80</v>
      </c>
    </row>
    <row r="522" spans="1:17" x14ac:dyDescent="0.2">
      <c r="A522" t="str">
        <f>"Unknown"</f>
        <v>Unknown</v>
      </c>
      <c r="B522" t="str">
        <f>"NPOC/TN"</f>
        <v>NPOC/TN</v>
      </c>
      <c r="C522" t="str">
        <f>"1125"</f>
        <v>1125</v>
      </c>
      <c r="D522" t="str">
        <f>"DI"</f>
        <v>DI</v>
      </c>
      <c r="E522" t="str">
        <f>"C:\TOC3201\Methods\Itamar\acid_sample.met"</f>
        <v>C:\TOC3201\Methods\Itamar\acid_sample.met</v>
      </c>
      <c r="F522" t="str">
        <f>"C:\TOC3201\CalCurves\Itamar\C_cal_100ppm_acid_laurel.2019_08_21_13_17_46.cal"</f>
        <v>C:\TOC3201\CalCurves\Itamar\C_cal_100ppm_acid_laurel.2019_08_21_13_17_46.cal</v>
      </c>
      <c r="G522">
        <v>1</v>
      </c>
      <c r="H522" t="str">
        <f>""</f>
        <v/>
      </c>
      <c r="I522" t="str">
        <f>"8/22/2019 2:48:34 PM"</f>
        <v>8/22/2019 2:48:34 PM</v>
      </c>
      <c r="J522" t="str">
        <f>"1"</f>
        <v>1</v>
      </c>
      <c r="K522" t="str">
        <f>"5"</f>
        <v>5</v>
      </c>
      <c r="L522" t="str">
        <f>"NPOC"</f>
        <v>NPOC</v>
      </c>
      <c r="M522" t="str">
        <f>"17.38"</f>
        <v>17.38</v>
      </c>
      <c r="N522" t="str">
        <f>"3.229"</f>
        <v>3.229</v>
      </c>
      <c r="O522" t="str">
        <f>"NPOC:3.231mg/L TN:0.4276mg/L"</f>
        <v>NPOC:3.231mg/L TN:0.4276mg/L</v>
      </c>
      <c r="P522">
        <v>0</v>
      </c>
      <c r="Q522" t="str">
        <f>"80"</f>
        <v>80</v>
      </c>
    </row>
    <row r="523" spans="1:17" x14ac:dyDescent="0.2">
      <c r="A523" t="str">
        <f>"Unknown"</f>
        <v>Unknown</v>
      </c>
      <c r="B523" t="str">
        <f>"NPOC/TN"</f>
        <v>NPOC/TN</v>
      </c>
      <c r="C523" t="str">
        <f>"1125"</f>
        <v>1125</v>
      </c>
      <c r="D523" t="str">
        <f>"DI"</f>
        <v>DI</v>
      </c>
      <c r="E523" t="str">
        <f>"C:\TOC3201\Methods\Itamar\acid_sample.met"</f>
        <v>C:\TOC3201\Methods\Itamar\acid_sample.met</v>
      </c>
      <c r="F523" t="str">
        <f>"C:\TOC3201\CalCurves\Itamar\N_cal_25ppm_acid_laurel.2019_08_21_15_23_49.cal"</f>
        <v>C:\TOC3201\CalCurves\Itamar\N_cal_25ppm_acid_laurel.2019_08_21_15_23_49.cal</v>
      </c>
      <c r="G523">
        <v>1</v>
      </c>
      <c r="H523" t="str">
        <f>""</f>
        <v/>
      </c>
      <c r="I523" t="str">
        <f>"8/22/2019 2:35:47 PM"</f>
        <v>8/22/2019 2:35:47 PM</v>
      </c>
      <c r="J523" t="str">
        <f>"1"</f>
        <v>1</v>
      </c>
      <c r="K523" t="str">
        <f>"1"</f>
        <v>1</v>
      </c>
      <c r="L523" t="str">
        <f>"TN"</f>
        <v>TN</v>
      </c>
      <c r="M523" t="str">
        <f>"0.9094"</f>
        <v>0.9094</v>
      </c>
      <c r="N523" t="str">
        <f>"0.4038"</f>
        <v>0.4038</v>
      </c>
      <c r="O523" t="str">
        <f>"NPOC:3.231mg/L TN:0.4276mg/L"</f>
        <v>NPOC:3.231mg/L TN:0.4276mg/L</v>
      </c>
      <c r="P523">
        <v>0</v>
      </c>
      <c r="Q523" t="str">
        <f>"80"</f>
        <v>80</v>
      </c>
    </row>
    <row r="524" spans="1:17" x14ac:dyDescent="0.2">
      <c r="A524" t="str">
        <f>"Unknown"</f>
        <v>Unknown</v>
      </c>
      <c r="B524" t="str">
        <f>"NPOC/TN"</f>
        <v>NPOC/TN</v>
      </c>
      <c r="C524" t="str">
        <f>"1125"</f>
        <v>1125</v>
      </c>
      <c r="D524" t="str">
        <f>"DI"</f>
        <v>DI</v>
      </c>
      <c r="E524" t="str">
        <f>"C:\TOC3201\Methods\Itamar\acid_sample.met"</f>
        <v>C:\TOC3201\Methods\Itamar\acid_sample.met</v>
      </c>
      <c r="F524" t="str">
        <f>"C:\TOC3201\CalCurves\Itamar\N_cal_25ppm_acid_laurel.2019_08_21_15_23_49.cal"</f>
        <v>C:\TOC3201\CalCurves\Itamar\N_cal_25ppm_acid_laurel.2019_08_21_15_23_49.cal</v>
      </c>
      <c r="G524">
        <v>1</v>
      </c>
      <c r="H524" t="str">
        <f>""</f>
        <v/>
      </c>
      <c r="I524" t="str">
        <f>"8/22/2019 2:39:00 PM"</f>
        <v>8/22/2019 2:39:00 PM</v>
      </c>
      <c r="J524" t="str">
        <f>"1"</f>
        <v>1</v>
      </c>
      <c r="K524" t="str">
        <f>"2"</f>
        <v>2</v>
      </c>
      <c r="L524" t="str">
        <f>"TN"</f>
        <v>TN</v>
      </c>
      <c r="M524" t="str">
        <f>"1.326"</f>
        <v>1.326</v>
      </c>
      <c r="N524" t="str">
        <f>"0.5181"</f>
        <v>0.5181</v>
      </c>
      <c r="O524" t="str">
        <f>"NPOC:3.231mg/L TN:0.4276mg/L"</f>
        <v>NPOC:3.231mg/L TN:0.4276mg/L</v>
      </c>
      <c r="P524">
        <v>1</v>
      </c>
      <c r="Q524" t="str">
        <f>"80"</f>
        <v>80</v>
      </c>
    </row>
    <row r="525" spans="1:17" x14ac:dyDescent="0.2">
      <c r="A525" t="str">
        <f>"Unknown"</f>
        <v>Unknown</v>
      </c>
      <c r="B525" t="str">
        <f>"NPOC/TN"</f>
        <v>NPOC/TN</v>
      </c>
      <c r="C525" t="str">
        <f>"1125"</f>
        <v>1125</v>
      </c>
      <c r="D525" t="str">
        <f>"DI"</f>
        <v>DI</v>
      </c>
      <c r="E525" t="str">
        <f>"C:\TOC3201\Methods\Itamar\acid_sample.met"</f>
        <v>C:\TOC3201\Methods\Itamar\acid_sample.met</v>
      </c>
      <c r="F525" t="str">
        <f>"C:\TOC3201\CalCurves\Itamar\N_cal_25ppm_acid_laurel.2019_08_21_15_23_49.cal"</f>
        <v>C:\TOC3201\CalCurves\Itamar\N_cal_25ppm_acid_laurel.2019_08_21_15_23_49.cal</v>
      </c>
      <c r="G525">
        <v>1</v>
      </c>
      <c r="H525" t="str">
        <f>""</f>
        <v/>
      </c>
      <c r="I525" t="str">
        <f>"8/22/2019 2:42:16 PM"</f>
        <v>8/22/2019 2:42:16 PM</v>
      </c>
      <c r="J525" t="str">
        <f>"1"</f>
        <v>1</v>
      </c>
      <c r="K525" t="str">
        <f>"3"</f>
        <v>3</v>
      </c>
      <c r="L525" t="str">
        <f>"TN"</f>
        <v>TN</v>
      </c>
      <c r="M525" t="str">
        <f>"1.101"</f>
        <v>1.101</v>
      </c>
      <c r="N525" t="str">
        <f>"0.4564"</f>
        <v>0.4564</v>
      </c>
      <c r="O525" t="str">
        <f>"NPOC:3.231mg/L TN:0.4276mg/L"</f>
        <v>NPOC:3.231mg/L TN:0.4276mg/L</v>
      </c>
      <c r="P525">
        <v>0</v>
      </c>
      <c r="Q525" t="str">
        <f>"80"</f>
        <v>80</v>
      </c>
    </row>
    <row r="526" spans="1:17" x14ac:dyDescent="0.2">
      <c r="A526" t="str">
        <f>"Unknown"</f>
        <v>Unknown</v>
      </c>
      <c r="B526" t="str">
        <f>"NPOC/TN"</f>
        <v>NPOC/TN</v>
      </c>
      <c r="C526" t="str">
        <f>"1125"</f>
        <v>1125</v>
      </c>
      <c r="D526" t="str">
        <f>"DI"</f>
        <v>DI</v>
      </c>
      <c r="E526" t="str">
        <f>"C:\TOC3201\Methods\Itamar\acid_sample.met"</f>
        <v>C:\TOC3201\Methods\Itamar\acid_sample.met</v>
      </c>
      <c r="F526" t="str">
        <f>"C:\TOC3201\CalCurves\Itamar\N_cal_25ppm_acid_laurel.2019_08_21_15_23_49.cal"</f>
        <v>C:\TOC3201\CalCurves\Itamar\N_cal_25ppm_acid_laurel.2019_08_21_15_23_49.cal</v>
      </c>
      <c r="G526">
        <v>1</v>
      </c>
      <c r="H526" t="str">
        <f>""</f>
        <v/>
      </c>
      <c r="I526" t="str">
        <f>"8/22/2019 2:45:26 PM"</f>
        <v>8/22/2019 2:45:26 PM</v>
      </c>
      <c r="J526" t="str">
        <f>"1"</f>
        <v>1</v>
      </c>
      <c r="K526" t="str">
        <f>"4"</f>
        <v>4</v>
      </c>
      <c r="L526" t="str">
        <f>"TN"</f>
        <v>TN</v>
      </c>
      <c r="M526" t="str">
        <f>"0.9778"</f>
        <v>0.9778</v>
      </c>
      <c r="N526" t="str">
        <f>"0.4226"</f>
        <v>0.4226</v>
      </c>
      <c r="O526" t="str">
        <f>"NPOC:3.231mg/L TN:0.4276mg/L"</f>
        <v>NPOC:3.231mg/L TN:0.4276mg/L</v>
      </c>
      <c r="P526">
        <v>0</v>
      </c>
      <c r="Q526" t="str">
        <f>"80"</f>
        <v>80</v>
      </c>
    </row>
    <row r="527" spans="1:17" x14ac:dyDescent="0.2">
      <c r="A527" t="str">
        <f>"Unknown"</f>
        <v>Unknown</v>
      </c>
      <c r="B527" t="str">
        <f>"NPOC/TN"</f>
        <v>NPOC/TN</v>
      </c>
      <c r="C527" t="str">
        <f>"1127"</f>
        <v>1127</v>
      </c>
      <c r="D527" t="str">
        <f>"DI"</f>
        <v>DI</v>
      </c>
      <c r="E527" t="str">
        <f>"C:\TOC3201\Methods\Itamar\acid_sample.met"</f>
        <v>C:\TOC3201\Methods\Itamar\acid_sample.met</v>
      </c>
      <c r="F527" t="str">
        <f>"C:\TOC3201\CalCurves\Itamar\C_cal_100ppm_acid_laurel.2019_08_21_13_17_46.cal"</f>
        <v>C:\TOC3201\CalCurves\Itamar\C_cal_100ppm_acid_laurel.2019_08_21_13_17_46.cal</v>
      </c>
      <c r="G527">
        <v>1</v>
      </c>
      <c r="H527" t="str">
        <f>""</f>
        <v/>
      </c>
      <c r="I527" t="str">
        <f>"8/22/2019 2:59:12 PM"</f>
        <v>8/22/2019 2:59:12 PM</v>
      </c>
      <c r="J527" t="str">
        <f>"1"</f>
        <v>1</v>
      </c>
      <c r="K527" t="str">
        <f>"1"</f>
        <v>1</v>
      </c>
      <c r="L527" t="str">
        <f>"NPOC"</f>
        <v>NPOC</v>
      </c>
      <c r="M527" t="str">
        <f>"22.66"</f>
        <v>22.66</v>
      </c>
      <c r="N527" t="str">
        <f>"4.308"</f>
        <v>4.308</v>
      </c>
      <c r="O527" t="str">
        <f>"NPOC:3.206mg/L TN:0.4022mg/L"</f>
        <v>NPOC:3.206mg/L TN:0.4022mg/L</v>
      </c>
      <c r="P527">
        <v>1</v>
      </c>
      <c r="Q527" t="str">
        <f>"80"</f>
        <v>80</v>
      </c>
    </row>
    <row r="528" spans="1:17" x14ac:dyDescent="0.2">
      <c r="A528" t="str">
        <f>"Unknown"</f>
        <v>Unknown</v>
      </c>
      <c r="B528" t="str">
        <f>"NPOC/TN"</f>
        <v>NPOC/TN</v>
      </c>
      <c r="C528" t="str">
        <f>"1127"</f>
        <v>1127</v>
      </c>
      <c r="D528" t="str">
        <f>"DI"</f>
        <v>DI</v>
      </c>
      <c r="E528" t="str">
        <f>"C:\TOC3201\Methods\Itamar\acid_sample.met"</f>
        <v>C:\TOC3201\Methods\Itamar\acid_sample.met</v>
      </c>
      <c r="F528" t="str">
        <f>"C:\TOC3201\CalCurves\Itamar\C_cal_100ppm_acid_laurel.2019_08_21_13_17_46.cal"</f>
        <v>C:\TOC3201\CalCurves\Itamar\C_cal_100ppm_acid_laurel.2019_08_21_13_17_46.cal</v>
      </c>
      <c r="G528">
        <v>1</v>
      </c>
      <c r="H528" t="str">
        <f>""</f>
        <v/>
      </c>
      <c r="I528" t="str">
        <f>"8/22/2019 3:02:24 PM"</f>
        <v>8/22/2019 3:02:24 PM</v>
      </c>
      <c r="J528" t="str">
        <f>"1"</f>
        <v>1</v>
      </c>
      <c r="K528" t="str">
        <f>"2"</f>
        <v>2</v>
      </c>
      <c r="L528" t="str">
        <f>"NPOC"</f>
        <v>NPOC</v>
      </c>
      <c r="M528" t="str">
        <f>"16.96"</f>
        <v>16.96</v>
      </c>
      <c r="N528" t="str">
        <f>"3.143"</f>
        <v>3.143</v>
      </c>
      <c r="O528" t="str">
        <f>"NPOC:3.206mg/L TN:0.4022mg/L"</f>
        <v>NPOC:3.206mg/L TN:0.4022mg/L</v>
      </c>
      <c r="P528">
        <v>0</v>
      </c>
      <c r="Q528" t="str">
        <f>"80"</f>
        <v>80</v>
      </c>
    </row>
    <row r="529" spans="1:17" x14ac:dyDescent="0.2">
      <c r="A529" t="str">
        <f>"Unknown"</f>
        <v>Unknown</v>
      </c>
      <c r="B529" t="str">
        <f>"NPOC/TN"</f>
        <v>NPOC/TN</v>
      </c>
      <c r="C529" t="str">
        <f>"1127"</f>
        <v>1127</v>
      </c>
      <c r="D529" t="str">
        <f>"DI"</f>
        <v>DI</v>
      </c>
      <c r="E529" t="str">
        <f>"C:\TOC3201\Methods\Itamar\acid_sample.met"</f>
        <v>C:\TOC3201\Methods\Itamar\acid_sample.met</v>
      </c>
      <c r="F529" t="str">
        <f>"C:\TOC3201\CalCurves\Itamar\C_cal_100ppm_acid_laurel.2019_08_21_13_17_46.cal"</f>
        <v>C:\TOC3201\CalCurves\Itamar\C_cal_100ppm_acid_laurel.2019_08_21_13_17_46.cal</v>
      </c>
      <c r="G529">
        <v>1</v>
      </c>
      <c r="H529" t="str">
        <f>""</f>
        <v/>
      </c>
      <c r="I529" t="str">
        <f>"8/22/2019 3:05:36 PM"</f>
        <v>8/22/2019 3:05:36 PM</v>
      </c>
      <c r="J529" t="str">
        <f>"1"</f>
        <v>1</v>
      </c>
      <c r="K529" t="str">
        <f>"3"</f>
        <v>3</v>
      </c>
      <c r="L529" t="str">
        <f>"NPOC"</f>
        <v>NPOC</v>
      </c>
      <c r="M529" t="str">
        <f>"17.53"</f>
        <v>17.53</v>
      </c>
      <c r="N529" t="str">
        <f>"3.259"</f>
        <v>3.259</v>
      </c>
      <c r="O529" t="str">
        <f>"NPOC:3.206mg/L TN:0.4022mg/L"</f>
        <v>NPOC:3.206mg/L TN:0.4022mg/L</v>
      </c>
      <c r="P529">
        <v>0</v>
      </c>
      <c r="Q529" t="str">
        <f>"80"</f>
        <v>80</v>
      </c>
    </row>
    <row r="530" spans="1:17" x14ac:dyDescent="0.2">
      <c r="A530" t="str">
        <f>"Unknown"</f>
        <v>Unknown</v>
      </c>
      <c r="B530" t="str">
        <f>"NPOC/TN"</f>
        <v>NPOC/TN</v>
      </c>
      <c r="C530" t="str">
        <f>"1127"</f>
        <v>1127</v>
      </c>
      <c r="D530" t="str">
        <f>"DI"</f>
        <v>DI</v>
      </c>
      <c r="E530" t="str">
        <f>"C:\TOC3201\Methods\Itamar\acid_sample.met"</f>
        <v>C:\TOC3201\Methods\Itamar\acid_sample.met</v>
      </c>
      <c r="F530" t="str">
        <f>"C:\TOC3201\CalCurves\Itamar\C_cal_100ppm_acid_laurel.2019_08_21_13_17_46.cal"</f>
        <v>C:\TOC3201\CalCurves\Itamar\C_cal_100ppm_acid_laurel.2019_08_21_13_17_46.cal</v>
      </c>
      <c r="G530">
        <v>1</v>
      </c>
      <c r="H530" t="str">
        <f>""</f>
        <v/>
      </c>
      <c r="I530" t="str">
        <f>"8/22/2019 3:08:48 PM"</f>
        <v>8/22/2019 3:08:48 PM</v>
      </c>
      <c r="J530" t="str">
        <f>"1"</f>
        <v>1</v>
      </c>
      <c r="K530" t="str">
        <f>"4"</f>
        <v>4</v>
      </c>
      <c r="L530" t="str">
        <f>"NPOC"</f>
        <v>NPOC</v>
      </c>
      <c r="M530" t="str">
        <f>"17.32"</f>
        <v>17.32</v>
      </c>
      <c r="N530" t="str">
        <f>"3.216"</f>
        <v>3.216</v>
      </c>
      <c r="O530" t="str">
        <f>"NPOC:3.206mg/L TN:0.4022mg/L"</f>
        <v>NPOC:3.206mg/L TN:0.4022mg/L</v>
      </c>
      <c r="P530">
        <v>0</v>
      </c>
      <c r="Q530" t="str">
        <f>"80"</f>
        <v>80</v>
      </c>
    </row>
    <row r="531" spans="1:17" x14ac:dyDescent="0.2">
      <c r="A531" t="str">
        <f>"Unknown"</f>
        <v>Unknown</v>
      </c>
      <c r="B531" t="str">
        <f>"NPOC/TN"</f>
        <v>NPOC/TN</v>
      </c>
      <c r="C531" t="str">
        <f>"1127"</f>
        <v>1127</v>
      </c>
      <c r="D531" t="str">
        <f>"DI"</f>
        <v>DI</v>
      </c>
      <c r="E531" t="str">
        <f>"C:\TOC3201\Methods\Itamar\acid_sample.met"</f>
        <v>C:\TOC3201\Methods\Itamar\acid_sample.met</v>
      </c>
      <c r="F531" t="str">
        <f>"C:\TOC3201\CalCurves\Itamar\N_cal_25ppm_acid_laurel.2019_08_21_15_23_49.cal"</f>
        <v>C:\TOC3201\CalCurves\Itamar\N_cal_25ppm_acid_laurel.2019_08_21_15_23_49.cal</v>
      </c>
      <c r="G531">
        <v>1</v>
      </c>
      <c r="H531" t="str">
        <f>""</f>
        <v/>
      </c>
      <c r="I531" t="str">
        <f>"8/22/2019 2:59:12 PM"</f>
        <v>8/22/2019 2:59:12 PM</v>
      </c>
      <c r="J531" t="str">
        <f>"1"</f>
        <v>1</v>
      </c>
      <c r="K531" t="str">
        <f>"1"</f>
        <v>1</v>
      </c>
      <c r="L531" t="str">
        <f>"TN"</f>
        <v>TN</v>
      </c>
      <c r="M531" t="str">
        <f>"0.8046"</f>
        <v>0.8046</v>
      </c>
      <c r="N531" t="str">
        <f>"0.3751"</f>
        <v>0.3751</v>
      </c>
      <c r="O531" t="str">
        <f>"NPOC:3.206mg/L TN:0.4022mg/L"</f>
        <v>NPOC:3.206mg/L TN:0.4022mg/L</v>
      </c>
      <c r="P531">
        <v>0</v>
      </c>
      <c r="Q531" t="str">
        <f>"80"</f>
        <v>80</v>
      </c>
    </row>
    <row r="532" spans="1:17" x14ac:dyDescent="0.2">
      <c r="A532" t="str">
        <f>"Unknown"</f>
        <v>Unknown</v>
      </c>
      <c r="B532" t="str">
        <f>"NPOC/TN"</f>
        <v>NPOC/TN</v>
      </c>
      <c r="C532" t="str">
        <f>"1127"</f>
        <v>1127</v>
      </c>
      <c r="D532" t="str">
        <f>"DI"</f>
        <v>DI</v>
      </c>
      <c r="E532" t="str">
        <f>"C:\TOC3201\Methods\Itamar\acid_sample.met"</f>
        <v>C:\TOC3201\Methods\Itamar\acid_sample.met</v>
      </c>
      <c r="F532" t="str">
        <f>"C:\TOC3201\CalCurves\Itamar\N_cal_25ppm_acid_laurel.2019_08_21_15_23_49.cal"</f>
        <v>C:\TOC3201\CalCurves\Itamar\N_cal_25ppm_acid_laurel.2019_08_21_15_23_49.cal</v>
      </c>
      <c r="G532">
        <v>1</v>
      </c>
      <c r="H532" t="str">
        <f>""</f>
        <v/>
      </c>
      <c r="I532" t="str">
        <f>"8/22/2019 3:02:24 PM"</f>
        <v>8/22/2019 3:02:24 PM</v>
      </c>
      <c r="J532" t="str">
        <f>"1"</f>
        <v>1</v>
      </c>
      <c r="K532" t="str">
        <f>"2"</f>
        <v>2</v>
      </c>
      <c r="L532" t="str">
        <f>"TN"</f>
        <v>TN</v>
      </c>
      <c r="M532" t="str">
        <f>"0.9413"</f>
        <v>0.9413</v>
      </c>
      <c r="N532" t="str">
        <f>"0.4126"</f>
        <v>0.4126</v>
      </c>
      <c r="O532" t="str">
        <f>"NPOC:3.206mg/L TN:0.4022mg/L"</f>
        <v>NPOC:3.206mg/L TN:0.4022mg/L</v>
      </c>
      <c r="P532">
        <v>0</v>
      </c>
      <c r="Q532" t="str">
        <f>"80"</f>
        <v>80</v>
      </c>
    </row>
    <row r="533" spans="1:17" x14ac:dyDescent="0.2">
      <c r="A533" t="str">
        <f>"Unknown"</f>
        <v>Unknown</v>
      </c>
      <c r="B533" t="str">
        <f>"NPOC/TN"</f>
        <v>NPOC/TN</v>
      </c>
      <c r="C533" t="str">
        <f>"1127"</f>
        <v>1127</v>
      </c>
      <c r="D533" t="str">
        <f>"DI"</f>
        <v>DI</v>
      </c>
      <c r="E533" t="str">
        <f>"C:\TOC3201\Methods\Itamar\acid_sample.met"</f>
        <v>C:\TOC3201\Methods\Itamar\acid_sample.met</v>
      </c>
      <c r="F533" t="str">
        <f>"C:\TOC3201\CalCurves\Itamar\N_cal_25ppm_acid_laurel.2019_08_21_15_23_49.cal"</f>
        <v>C:\TOC3201\CalCurves\Itamar\N_cal_25ppm_acid_laurel.2019_08_21_15_23_49.cal</v>
      </c>
      <c r="G533">
        <v>1</v>
      </c>
      <c r="H533" t="str">
        <f>""</f>
        <v/>
      </c>
      <c r="I533" t="str">
        <f>"8/22/2019 3:05:36 PM"</f>
        <v>8/22/2019 3:05:36 PM</v>
      </c>
      <c r="J533" t="str">
        <f>"1"</f>
        <v>1</v>
      </c>
      <c r="K533" t="str">
        <f>"3"</f>
        <v>3</v>
      </c>
      <c r="L533" t="str">
        <f>"TN"</f>
        <v>TN</v>
      </c>
      <c r="M533" t="str">
        <f>"0.9645"</f>
        <v>0.9645</v>
      </c>
      <c r="N533" t="str">
        <f>"0.4189"</f>
        <v>0.4189</v>
      </c>
      <c r="O533" t="str">
        <f>"NPOC:3.206mg/L TN:0.4022mg/L"</f>
        <v>NPOC:3.206mg/L TN:0.4022mg/L</v>
      </c>
      <c r="P533">
        <v>0</v>
      </c>
      <c r="Q533" t="str">
        <f>"80"</f>
        <v>80</v>
      </c>
    </row>
    <row r="534" spans="1:17" x14ac:dyDescent="0.2">
      <c r="A534" t="str">
        <f>"Unknown"</f>
        <v>Unknown</v>
      </c>
      <c r="B534" t="str">
        <f>"NPOC/TN"</f>
        <v>NPOC/TN</v>
      </c>
      <c r="C534" t="str">
        <f>"1129"</f>
        <v>1129</v>
      </c>
      <c r="D534" t="str">
        <f>"DI"</f>
        <v>DI</v>
      </c>
      <c r="E534" t="str">
        <f>"C:\TOC3201\Methods\Itamar\acid_sample.met"</f>
        <v>C:\TOC3201\Methods\Itamar\acid_sample.met</v>
      </c>
      <c r="F534" t="str">
        <f>"C:\TOC3201\CalCurves\Itamar\C_cal_100ppm_acid_laurel.2019_08_21_13_17_46.cal"</f>
        <v>C:\TOC3201\CalCurves\Itamar\C_cal_100ppm_acid_laurel.2019_08_21_13_17_46.cal</v>
      </c>
      <c r="G534">
        <v>1</v>
      </c>
      <c r="H534" t="str">
        <f>""</f>
        <v/>
      </c>
      <c r="I534" t="str">
        <f>"8/22/2019 3:18:18 PM"</f>
        <v>8/22/2019 3:18:18 PM</v>
      </c>
      <c r="J534" t="str">
        <f>"1"</f>
        <v>1</v>
      </c>
      <c r="K534" t="str">
        <f>"1"</f>
        <v>1</v>
      </c>
      <c r="L534" t="str">
        <f>"NPOC"</f>
        <v>NPOC</v>
      </c>
      <c r="M534" t="str">
        <f>"6.338"</f>
        <v>6.338</v>
      </c>
      <c r="N534" t="str">
        <f>"0.9710"</f>
        <v>0.9710</v>
      </c>
      <c r="O534" t="str">
        <f>"NPOC:0.9754mg/L TN:0.1544mg/L"</f>
        <v>NPOC:0.9754mg/L TN:0.1544mg/L</v>
      </c>
      <c r="P534">
        <v>0</v>
      </c>
      <c r="Q534" t="str">
        <f>"80"</f>
        <v>80</v>
      </c>
    </row>
    <row r="535" spans="1:17" x14ac:dyDescent="0.2">
      <c r="A535" t="str">
        <f>"Unknown"</f>
        <v>Unknown</v>
      </c>
      <c r="B535" t="str">
        <f>"NPOC/TN"</f>
        <v>NPOC/TN</v>
      </c>
      <c r="C535" t="str">
        <f>"1129"</f>
        <v>1129</v>
      </c>
      <c r="D535" t="str">
        <f>"DI"</f>
        <v>DI</v>
      </c>
      <c r="E535" t="str">
        <f>"C:\TOC3201\Methods\Itamar\acid_sample.met"</f>
        <v>C:\TOC3201\Methods\Itamar\acid_sample.met</v>
      </c>
      <c r="F535" t="str">
        <f>"C:\TOC3201\CalCurves\Itamar\C_cal_100ppm_acid_laurel.2019_08_21_13_17_46.cal"</f>
        <v>C:\TOC3201\CalCurves\Itamar\C_cal_100ppm_acid_laurel.2019_08_21_13_17_46.cal</v>
      </c>
      <c r="G535">
        <v>1</v>
      </c>
      <c r="H535" t="str">
        <f>""</f>
        <v/>
      </c>
      <c r="I535" t="str">
        <f>"8/22/2019 3:21:09 PM"</f>
        <v>8/22/2019 3:21:09 PM</v>
      </c>
      <c r="J535" t="str">
        <f>"1"</f>
        <v>1</v>
      </c>
      <c r="K535" t="str">
        <f>"2"</f>
        <v>2</v>
      </c>
      <c r="L535" t="str">
        <f>"NPOC"</f>
        <v>NPOC</v>
      </c>
      <c r="M535" t="str">
        <f>"6.284"</f>
        <v>6.284</v>
      </c>
      <c r="N535" t="str">
        <f>"0.9599"</f>
        <v>0.9599</v>
      </c>
      <c r="O535" t="str">
        <f>"NPOC:0.9754mg/L TN:0.1544mg/L"</f>
        <v>NPOC:0.9754mg/L TN:0.1544mg/L</v>
      </c>
      <c r="P535">
        <v>0</v>
      </c>
      <c r="Q535" t="str">
        <f>"80"</f>
        <v>80</v>
      </c>
    </row>
    <row r="536" spans="1:17" x14ac:dyDescent="0.2">
      <c r="A536" t="str">
        <f>"Unknown"</f>
        <v>Unknown</v>
      </c>
      <c r="B536" t="str">
        <f>"NPOC/TN"</f>
        <v>NPOC/TN</v>
      </c>
      <c r="C536" t="str">
        <f>"1129"</f>
        <v>1129</v>
      </c>
      <c r="D536" t="str">
        <f>"DI"</f>
        <v>DI</v>
      </c>
      <c r="E536" t="str">
        <f>"C:\TOC3201\Methods\Itamar\acid_sample.met"</f>
        <v>C:\TOC3201\Methods\Itamar\acid_sample.met</v>
      </c>
      <c r="F536" t="str">
        <f>"C:\TOC3201\CalCurves\Itamar\C_cal_100ppm_acid_laurel.2019_08_21_13_17_46.cal"</f>
        <v>C:\TOC3201\CalCurves\Itamar\C_cal_100ppm_acid_laurel.2019_08_21_13_17_46.cal</v>
      </c>
      <c r="G536">
        <v>1</v>
      </c>
      <c r="H536" t="str">
        <f>""</f>
        <v/>
      </c>
      <c r="I536" t="str">
        <f>"8/22/2019 3:24:03 PM"</f>
        <v>8/22/2019 3:24:03 PM</v>
      </c>
      <c r="J536" t="str">
        <f>"1"</f>
        <v>1</v>
      </c>
      <c r="K536" t="str">
        <f>"3"</f>
        <v>3</v>
      </c>
      <c r="L536" t="str">
        <f>"NPOC"</f>
        <v>NPOC</v>
      </c>
      <c r="M536" t="str">
        <f>"6.717"</f>
        <v>6.717</v>
      </c>
      <c r="N536" t="str">
        <f>"1.048"</f>
        <v>1.048</v>
      </c>
      <c r="O536" t="str">
        <f>"NPOC:0.9754mg/L TN:0.1544mg/L"</f>
        <v>NPOC:0.9754mg/L TN:0.1544mg/L</v>
      </c>
      <c r="P536">
        <v>1</v>
      </c>
      <c r="Q536" t="str">
        <f>"80"</f>
        <v>80</v>
      </c>
    </row>
    <row r="537" spans="1:17" x14ac:dyDescent="0.2">
      <c r="A537" t="str">
        <f>"Unknown"</f>
        <v>Unknown</v>
      </c>
      <c r="B537" t="str">
        <f>"NPOC/TN"</f>
        <v>NPOC/TN</v>
      </c>
      <c r="C537" t="str">
        <f>"1129"</f>
        <v>1129</v>
      </c>
      <c r="D537" t="str">
        <f>"DI"</f>
        <v>DI</v>
      </c>
      <c r="E537" t="str">
        <f>"C:\TOC3201\Methods\Itamar\acid_sample.met"</f>
        <v>C:\TOC3201\Methods\Itamar\acid_sample.met</v>
      </c>
      <c r="F537" t="str">
        <f>"C:\TOC3201\CalCurves\Itamar\C_cal_100ppm_acid_laurel.2019_08_21_13_17_46.cal"</f>
        <v>C:\TOC3201\CalCurves\Itamar\C_cal_100ppm_acid_laurel.2019_08_21_13_17_46.cal</v>
      </c>
      <c r="G537">
        <v>1</v>
      </c>
      <c r="H537" t="str">
        <f>""</f>
        <v/>
      </c>
      <c r="I537" t="str">
        <f>"8/22/2019 3:26:53 PM"</f>
        <v>8/22/2019 3:26:53 PM</v>
      </c>
      <c r="J537" t="str">
        <f>"1"</f>
        <v>1</v>
      </c>
      <c r="K537" t="str">
        <f>"4"</f>
        <v>4</v>
      </c>
      <c r="L537" t="str">
        <f>"NPOC"</f>
        <v>NPOC</v>
      </c>
      <c r="M537" t="str">
        <f>"6.457"</f>
        <v>6.457</v>
      </c>
      <c r="N537" t="str">
        <f>"0.9953"</f>
        <v>0.9953</v>
      </c>
      <c r="O537" t="str">
        <f>"NPOC:0.9754mg/L TN:0.1544mg/L"</f>
        <v>NPOC:0.9754mg/L TN:0.1544mg/L</v>
      </c>
      <c r="P537">
        <v>0</v>
      </c>
      <c r="Q537" t="str">
        <f>"80"</f>
        <v>80</v>
      </c>
    </row>
    <row r="538" spans="1:17" x14ac:dyDescent="0.2">
      <c r="A538" t="str">
        <f>"Unknown"</f>
        <v>Unknown</v>
      </c>
      <c r="B538" t="str">
        <f>"NPOC/TN"</f>
        <v>NPOC/TN</v>
      </c>
      <c r="C538" t="str">
        <f>"1129"</f>
        <v>1129</v>
      </c>
      <c r="D538" t="str">
        <f>"DI"</f>
        <v>DI</v>
      </c>
      <c r="E538" t="str">
        <f>"C:\TOC3201\Methods\Itamar\acid_sample.met"</f>
        <v>C:\TOC3201\Methods\Itamar\acid_sample.met</v>
      </c>
      <c r="F538" t="str">
        <f>"C:\TOC3201\CalCurves\Itamar\N_cal_25ppm_acid_laurel.2019_08_21_15_23_49.cal"</f>
        <v>C:\TOC3201\CalCurves\Itamar\N_cal_25ppm_acid_laurel.2019_08_21_15_23_49.cal</v>
      </c>
      <c r="G538">
        <v>1</v>
      </c>
      <c r="H538" t="str">
        <f>""</f>
        <v/>
      </c>
      <c r="I538" t="str">
        <f>"8/22/2019 3:18:18 PM"</f>
        <v>8/22/2019 3:18:18 PM</v>
      </c>
      <c r="J538" t="str">
        <f>"1"</f>
        <v>1</v>
      </c>
      <c r="K538" t="str">
        <f>"1"</f>
        <v>1</v>
      </c>
      <c r="L538" t="str">
        <f>"TN"</f>
        <v>TN</v>
      </c>
      <c r="M538" t="str">
        <f>"0.000"</f>
        <v>0.000</v>
      </c>
      <c r="N538" t="str">
        <f>"0.1544"</f>
        <v>0.1544</v>
      </c>
      <c r="O538" t="str">
        <f>"NPOC:0.9754mg/L TN:0.1544mg/L"</f>
        <v>NPOC:0.9754mg/L TN:0.1544mg/L</v>
      </c>
      <c r="P538">
        <v>0</v>
      </c>
      <c r="Q538" t="str">
        <f>"80"</f>
        <v>80</v>
      </c>
    </row>
    <row r="539" spans="1:17" x14ac:dyDescent="0.2">
      <c r="A539" t="str">
        <f>"Unknown"</f>
        <v>Unknown</v>
      </c>
      <c r="B539" t="str">
        <f>"NPOC/TN"</f>
        <v>NPOC/TN</v>
      </c>
      <c r="C539" t="str">
        <f>"1129"</f>
        <v>1129</v>
      </c>
      <c r="D539" t="str">
        <f>"DI"</f>
        <v>DI</v>
      </c>
      <c r="E539" t="str">
        <f>"C:\TOC3201\Methods\Itamar\acid_sample.met"</f>
        <v>C:\TOC3201\Methods\Itamar\acid_sample.met</v>
      </c>
      <c r="F539" t="str">
        <f>"C:\TOC3201\CalCurves\Itamar\N_cal_25ppm_acid_laurel.2019_08_21_15_23_49.cal"</f>
        <v>C:\TOC3201\CalCurves\Itamar\N_cal_25ppm_acid_laurel.2019_08_21_15_23_49.cal</v>
      </c>
      <c r="G539">
        <v>1</v>
      </c>
      <c r="H539" t="str">
        <f>""</f>
        <v/>
      </c>
      <c r="I539" t="str">
        <f>"8/22/2019 3:21:09 PM"</f>
        <v>8/22/2019 3:21:09 PM</v>
      </c>
      <c r="J539" t="str">
        <f>"1"</f>
        <v>1</v>
      </c>
      <c r="K539" t="str">
        <f>"2"</f>
        <v>2</v>
      </c>
      <c r="L539" t="str">
        <f>"TN"</f>
        <v>TN</v>
      </c>
      <c r="M539" t="str">
        <f>"0.000"</f>
        <v>0.000</v>
      </c>
      <c r="N539" t="str">
        <f>"0.1544"</f>
        <v>0.1544</v>
      </c>
      <c r="O539" t="str">
        <f>"NPOC:0.9754mg/L TN:0.1544mg/L"</f>
        <v>NPOC:0.9754mg/L TN:0.1544mg/L</v>
      </c>
      <c r="P539">
        <v>0</v>
      </c>
      <c r="Q539" t="str">
        <f>"80"</f>
        <v>80</v>
      </c>
    </row>
    <row r="540" spans="1:17" x14ac:dyDescent="0.2">
      <c r="A540" t="str">
        <f>"Unknown"</f>
        <v>Unknown</v>
      </c>
      <c r="B540" t="str">
        <f>"NPOC/TN"</f>
        <v>NPOC/TN</v>
      </c>
      <c r="C540" t="str">
        <f>"1129"</f>
        <v>1129</v>
      </c>
      <c r="D540" t="str">
        <f>"DI"</f>
        <v>DI</v>
      </c>
      <c r="E540" t="str">
        <f>"C:\TOC3201\Methods\Itamar\acid_sample.met"</f>
        <v>C:\TOC3201\Methods\Itamar\acid_sample.met</v>
      </c>
      <c r="F540" t="str">
        <f>"C:\TOC3201\CalCurves\Itamar\N_cal_25ppm_acid_laurel.2019_08_21_15_23_49.cal"</f>
        <v>C:\TOC3201\CalCurves\Itamar\N_cal_25ppm_acid_laurel.2019_08_21_15_23_49.cal</v>
      </c>
      <c r="G540">
        <v>1</v>
      </c>
      <c r="H540" t="str">
        <f>""</f>
        <v/>
      </c>
      <c r="I540" t="str">
        <f>"8/22/2019 3:24:03 PM"</f>
        <v>8/22/2019 3:24:03 PM</v>
      </c>
      <c r="J540" t="str">
        <f>"1"</f>
        <v>1</v>
      </c>
      <c r="K540" t="str">
        <f>"3"</f>
        <v>3</v>
      </c>
      <c r="L540" t="str">
        <f>"TN"</f>
        <v>TN</v>
      </c>
      <c r="M540" t="str">
        <f>"0.000"</f>
        <v>0.000</v>
      </c>
      <c r="N540" t="str">
        <f>"0.1544"</f>
        <v>0.1544</v>
      </c>
      <c r="O540" t="str">
        <f>"NPOC:0.9754mg/L TN:0.1544mg/L"</f>
        <v>NPOC:0.9754mg/L TN:0.1544mg/L</v>
      </c>
      <c r="P540">
        <v>0</v>
      </c>
      <c r="Q540" t="str">
        <f>"80"</f>
        <v>80</v>
      </c>
    </row>
    <row r="541" spans="1:17" x14ac:dyDescent="0.2">
      <c r="A541" t="str">
        <f>"Unknown"</f>
        <v>Unknown</v>
      </c>
      <c r="B541" t="str">
        <f>"NPOC/TN"</f>
        <v>NPOC/TN</v>
      </c>
      <c r="C541" t="str">
        <f>"1131"</f>
        <v>1131</v>
      </c>
      <c r="D541" t="str">
        <f>"DI"</f>
        <v>DI</v>
      </c>
      <c r="E541" t="str">
        <f>"C:\TOC3201\Methods\Itamar\acid_sample.met"</f>
        <v>C:\TOC3201\Methods\Itamar\acid_sample.met</v>
      </c>
      <c r="F541" t="str">
        <f>"C:\TOC3201\CalCurves\Itamar\C_cal_100ppm_acid_laurel.2019_08_21_13_17_46.cal"</f>
        <v>C:\TOC3201\CalCurves\Itamar\C_cal_100ppm_acid_laurel.2019_08_21_13_17_46.cal</v>
      </c>
      <c r="G541">
        <v>1</v>
      </c>
      <c r="H541" t="str">
        <f>""</f>
        <v/>
      </c>
      <c r="I541" t="str">
        <f>"8/22/2019 3:36:24 PM"</f>
        <v>8/22/2019 3:36:24 PM</v>
      </c>
      <c r="J541" t="str">
        <f>"1"</f>
        <v>1</v>
      </c>
      <c r="K541" t="str">
        <f>"1"</f>
        <v>1</v>
      </c>
      <c r="L541" t="str">
        <f>"NPOC"</f>
        <v>NPOC</v>
      </c>
      <c r="M541" t="str">
        <f>"6.721"</f>
        <v>6.721</v>
      </c>
      <c r="N541" t="str">
        <f>"1.049"</f>
        <v>1.049</v>
      </c>
      <c r="O541" t="str">
        <f>"NPOC:0.8832mg/L TN:0.1544mg/L"</f>
        <v>NPOC:0.8832mg/L TN:0.1544mg/L</v>
      </c>
      <c r="P541">
        <v>1</v>
      </c>
      <c r="Q541" t="str">
        <f>"80"</f>
        <v>80</v>
      </c>
    </row>
    <row r="542" spans="1:17" x14ac:dyDescent="0.2">
      <c r="A542" t="str">
        <f>"Unknown"</f>
        <v>Unknown</v>
      </c>
      <c r="B542" t="str">
        <f>"NPOC/TN"</f>
        <v>NPOC/TN</v>
      </c>
      <c r="C542" t="str">
        <f>"1131"</f>
        <v>1131</v>
      </c>
      <c r="D542" t="str">
        <f>"DI"</f>
        <v>DI</v>
      </c>
      <c r="E542" t="str">
        <f>"C:\TOC3201\Methods\Itamar\acid_sample.met"</f>
        <v>C:\TOC3201\Methods\Itamar\acid_sample.met</v>
      </c>
      <c r="F542" t="str">
        <f>"C:\TOC3201\CalCurves\Itamar\C_cal_100ppm_acid_laurel.2019_08_21_13_17_46.cal"</f>
        <v>C:\TOC3201\CalCurves\Itamar\C_cal_100ppm_acid_laurel.2019_08_21_13_17_46.cal</v>
      </c>
      <c r="G542">
        <v>1</v>
      </c>
      <c r="H542" t="str">
        <f>""</f>
        <v/>
      </c>
      <c r="I542" t="str">
        <f>"8/22/2019 3:39:12 PM"</f>
        <v>8/22/2019 3:39:12 PM</v>
      </c>
      <c r="J542" t="str">
        <f>"1"</f>
        <v>1</v>
      </c>
      <c r="K542" t="str">
        <f>"2"</f>
        <v>2</v>
      </c>
      <c r="L542" t="str">
        <f>"NPOC"</f>
        <v>NPOC</v>
      </c>
      <c r="M542" t="str">
        <f>"5.759"</f>
        <v>5.759</v>
      </c>
      <c r="N542" t="str">
        <f>"0.8526"</f>
        <v>0.8526</v>
      </c>
      <c r="O542" t="str">
        <f>"NPOC:0.8832mg/L TN:0.1544mg/L"</f>
        <v>NPOC:0.8832mg/L TN:0.1544mg/L</v>
      </c>
      <c r="P542">
        <v>0</v>
      </c>
      <c r="Q542" t="str">
        <f>"80"</f>
        <v>80</v>
      </c>
    </row>
    <row r="543" spans="1:17" x14ac:dyDescent="0.2">
      <c r="A543" t="str">
        <f>"Unknown"</f>
        <v>Unknown</v>
      </c>
      <c r="B543" t="str">
        <f>"NPOC/TN"</f>
        <v>NPOC/TN</v>
      </c>
      <c r="C543" t="str">
        <f>"1131"</f>
        <v>1131</v>
      </c>
      <c r="D543" t="str">
        <f>"DI"</f>
        <v>DI</v>
      </c>
      <c r="E543" t="str">
        <f>"C:\TOC3201\Methods\Itamar\acid_sample.met"</f>
        <v>C:\TOC3201\Methods\Itamar\acid_sample.met</v>
      </c>
      <c r="F543" t="str">
        <f>"C:\TOC3201\CalCurves\Itamar\C_cal_100ppm_acid_laurel.2019_08_21_13_17_46.cal"</f>
        <v>C:\TOC3201\CalCurves\Itamar\C_cal_100ppm_acid_laurel.2019_08_21_13_17_46.cal</v>
      </c>
      <c r="G543">
        <v>1</v>
      </c>
      <c r="H543" t="str">
        <f>""</f>
        <v/>
      </c>
      <c r="I543" t="str">
        <f>"8/22/2019 3:42:02 PM"</f>
        <v>8/22/2019 3:42:02 PM</v>
      </c>
      <c r="J543" t="str">
        <f>"1"</f>
        <v>1</v>
      </c>
      <c r="K543" t="str">
        <f>"3"</f>
        <v>3</v>
      </c>
      <c r="L543" t="str">
        <f>"NPOC"</f>
        <v>NPOC</v>
      </c>
      <c r="M543" t="str">
        <f>"6.218"</f>
        <v>6.218</v>
      </c>
      <c r="N543" t="str">
        <f>"0.9464"</f>
        <v>0.9464</v>
      </c>
      <c r="O543" t="str">
        <f>"NPOC:0.8832mg/L TN:0.1544mg/L"</f>
        <v>NPOC:0.8832mg/L TN:0.1544mg/L</v>
      </c>
      <c r="P543">
        <v>1</v>
      </c>
      <c r="Q543" t="str">
        <f>"80"</f>
        <v>80</v>
      </c>
    </row>
    <row r="544" spans="1:17" x14ac:dyDescent="0.2">
      <c r="A544" t="str">
        <f>"Unknown"</f>
        <v>Unknown</v>
      </c>
      <c r="B544" t="str">
        <f>"NPOC/TN"</f>
        <v>NPOC/TN</v>
      </c>
      <c r="C544" t="str">
        <f>"1131"</f>
        <v>1131</v>
      </c>
      <c r="D544" t="str">
        <f>"DI"</f>
        <v>DI</v>
      </c>
      <c r="E544" t="str">
        <f>"C:\TOC3201\Methods\Itamar\acid_sample.met"</f>
        <v>C:\TOC3201\Methods\Itamar\acid_sample.met</v>
      </c>
      <c r="F544" t="str">
        <f>"C:\TOC3201\CalCurves\Itamar\C_cal_100ppm_acid_laurel.2019_08_21_13_17_46.cal"</f>
        <v>C:\TOC3201\CalCurves\Itamar\C_cal_100ppm_acid_laurel.2019_08_21_13_17_46.cal</v>
      </c>
      <c r="G544">
        <v>1</v>
      </c>
      <c r="H544" t="str">
        <f>""</f>
        <v/>
      </c>
      <c r="I544" t="str">
        <f>"8/22/2019 3:44:58 PM"</f>
        <v>8/22/2019 3:44:58 PM</v>
      </c>
      <c r="J544" t="str">
        <f>"1"</f>
        <v>1</v>
      </c>
      <c r="K544" t="str">
        <f>"4"</f>
        <v>4</v>
      </c>
      <c r="L544" t="str">
        <f>"NPOC"</f>
        <v>NPOC</v>
      </c>
      <c r="M544" t="str">
        <f>"6.128"</f>
        <v>6.128</v>
      </c>
      <c r="N544" t="str">
        <f>"0.9280"</f>
        <v>0.9280</v>
      </c>
      <c r="O544" t="str">
        <f>"NPOC:0.8832mg/L TN:0.1544mg/L"</f>
        <v>NPOC:0.8832mg/L TN:0.1544mg/L</v>
      </c>
      <c r="P544">
        <v>0</v>
      </c>
      <c r="Q544" t="str">
        <f>"80"</f>
        <v>80</v>
      </c>
    </row>
    <row r="545" spans="1:17" x14ac:dyDescent="0.2">
      <c r="A545" t="str">
        <f>"Unknown"</f>
        <v>Unknown</v>
      </c>
      <c r="B545" t="str">
        <f>"NPOC/TN"</f>
        <v>NPOC/TN</v>
      </c>
      <c r="C545" t="str">
        <f>"1131"</f>
        <v>1131</v>
      </c>
      <c r="D545" t="str">
        <f>"DI"</f>
        <v>DI</v>
      </c>
      <c r="E545" t="str">
        <f>"C:\TOC3201\Methods\Itamar\acid_sample.met"</f>
        <v>C:\TOC3201\Methods\Itamar\acid_sample.met</v>
      </c>
      <c r="F545" t="str">
        <f>"C:\TOC3201\CalCurves\Itamar\C_cal_100ppm_acid_laurel.2019_08_21_13_17_46.cal"</f>
        <v>C:\TOC3201\CalCurves\Itamar\C_cal_100ppm_acid_laurel.2019_08_21_13_17_46.cal</v>
      </c>
      <c r="G545">
        <v>1</v>
      </c>
      <c r="H545" t="str">
        <f>""</f>
        <v/>
      </c>
      <c r="I545" t="str">
        <f>"8/22/2019 3:47:50 PM"</f>
        <v>8/22/2019 3:47:50 PM</v>
      </c>
      <c r="J545" t="str">
        <f>"1"</f>
        <v>1</v>
      </c>
      <c r="K545" t="str">
        <f>"5"</f>
        <v>5</v>
      </c>
      <c r="L545" t="str">
        <f>"NPOC"</f>
        <v>NPOC</v>
      </c>
      <c r="M545" t="str">
        <f>"5.839"</f>
        <v>5.839</v>
      </c>
      <c r="N545" t="str">
        <f>"0.8689"</f>
        <v>0.8689</v>
      </c>
      <c r="O545" t="str">
        <f>"NPOC:0.8832mg/L TN:0.1544mg/L"</f>
        <v>NPOC:0.8832mg/L TN:0.1544mg/L</v>
      </c>
      <c r="P545">
        <v>0</v>
      </c>
      <c r="Q545" t="str">
        <f>"80"</f>
        <v>80</v>
      </c>
    </row>
    <row r="546" spans="1:17" x14ac:dyDescent="0.2">
      <c r="A546" t="str">
        <f>"Unknown"</f>
        <v>Unknown</v>
      </c>
      <c r="B546" t="str">
        <f>"NPOC/TN"</f>
        <v>NPOC/TN</v>
      </c>
      <c r="C546" t="str">
        <f>"1131"</f>
        <v>1131</v>
      </c>
      <c r="D546" t="str">
        <f>"DI"</f>
        <v>DI</v>
      </c>
      <c r="E546" t="str">
        <f>"C:\TOC3201\Methods\Itamar\acid_sample.met"</f>
        <v>C:\TOC3201\Methods\Itamar\acid_sample.met</v>
      </c>
      <c r="F546" t="str">
        <f>"C:\TOC3201\CalCurves\Itamar\N_cal_25ppm_acid_laurel.2019_08_21_15_23_49.cal"</f>
        <v>C:\TOC3201\CalCurves\Itamar\N_cal_25ppm_acid_laurel.2019_08_21_15_23_49.cal</v>
      </c>
      <c r="G546">
        <v>1</v>
      </c>
      <c r="H546" t="str">
        <f>""</f>
        <v/>
      </c>
      <c r="I546" t="str">
        <f>"8/22/2019 3:36:24 PM"</f>
        <v>8/22/2019 3:36:24 PM</v>
      </c>
      <c r="J546" t="str">
        <f>"1"</f>
        <v>1</v>
      </c>
      <c r="K546" t="str">
        <f>"1"</f>
        <v>1</v>
      </c>
      <c r="L546" t="str">
        <f>"TN"</f>
        <v>TN</v>
      </c>
      <c r="M546" t="str">
        <f>"0.000"</f>
        <v>0.000</v>
      </c>
      <c r="N546" t="str">
        <f>"0.1544"</f>
        <v>0.1544</v>
      </c>
      <c r="O546" t="str">
        <f>"NPOC:0.8832mg/L TN:0.1544mg/L"</f>
        <v>NPOC:0.8832mg/L TN:0.1544mg/L</v>
      </c>
      <c r="P546">
        <v>0</v>
      </c>
      <c r="Q546" t="str">
        <f>"80"</f>
        <v>80</v>
      </c>
    </row>
    <row r="547" spans="1:17" x14ac:dyDescent="0.2">
      <c r="A547" t="str">
        <f>"Unknown"</f>
        <v>Unknown</v>
      </c>
      <c r="B547" t="str">
        <f>"NPOC/TN"</f>
        <v>NPOC/TN</v>
      </c>
      <c r="C547" t="str">
        <f>"1131"</f>
        <v>1131</v>
      </c>
      <c r="D547" t="str">
        <f>"DI"</f>
        <v>DI</v>
      </c>
      <c r="E547" t="str">
        <f>"C:\TOC3201\Methods\Itamar\acid_sample.met"</f>
        <v>C:\TOC3201\Methods\Itamar\acid_sample.met</v>
      </c>
      <c r="F547" t="str">
        <f>"C:\TOC3201\CalCurves\Itamar\N_cal_25ppm_acid_laurel.2019_08_21_15_23_49.cal"</f>
        <v>C:\TOC3201\CalCurves\Itamar\N_cal_25ppm_acid_laurel.2019_08_21_15_23_49.cal</v>
      </c>
      <c r="G547">
        <v>1</v>
      </c>
      <c r="H547" t="str">
        <f>""</f>
        <v/>
      </c>
      <c r="I547" t="str">
        <f>"8/22/2019 3:39:12 PM"</f>
        <v>8/22/2019 3:39:12 PM</v>
      </c>
      <c r="J547" t="str">
        <f>"1"</f>
        <v>1</v>
      </c>
      <c r="K547" t="str">
        <f>"2"</f>
        <v>2</v>
      </c>
      <c r="L547" t="str">
        <f>"TN"</f>
        <v>TN</v>
      </c>
      <c r="M547" t="str">
        <f>"0.000"</f>
        <v>0.000</v>
      </c>
      <c r="N547" t="str">
        <f>"0.1544"</f>
        <v>0.1544</v>
      </c>
      <c r="O547" t="str">
        <f>"NPOC:0.8832mg/L TN:0.1544mg/L"</f>
        <v>NPOC:0.8832mg/L TN:0.1544mg/L</v>
      </c>
      <c r="P547">
        <v>0</v>
      </c>
      <c r="Q547" t="str">
        <f>"80"</f>
        <v>80</v>
      </c>
    </row>
    <row r="548" spans="1:17" x14ac:dyDescent="0.2">
      <c r="A548" t="str">
        <f>"Unknown"</f>
        <v>Unknown</v>
      </c>
      <c r="B548" t="str">
        <f>"NPOC/TN"</f>
        <v>NPOC/TN</v>
      </c>
      <c r="C548" t="str">
        <f>"1131"</f>
        <v>1131</v>
      </c>
      <c r="D548" t="str">
        <f>"DI"</f>
        <v>DI</v>
      </c>
      <c r="E548" t="str">
        <f>"C:\TOC3201\Methods\Itamar\acid_sample.met"</f>
        <v>C:\TOC3201\Methods\Itamar\acid_sample.met</v>
      </c>
      <c r="F548" t="str">
        <f>"C:\TOC3201\CalCurves\Itamar\N_cal_25ppm_acid_laurel.2019_08_21_15_23_49.cal"</f>
        <v>C:\TOC3201\CalCurves\Itamar\N_cal_25ppm_acid_laurel.2019_08_21_15_23_49.cal</v>
      </c>
      <c r="G548">
        <v>1</v>
      </c>
      <c r="H548" t="str">
        <f>""</f>
        <v/>
      </c>
      <c r="I548" t="str">
        <f>"8/22/2019 3:42:02 PM"</f>
        <v>8/22/2019 3:42:02 PM</v>
      </c>
      <c r="J548" t="str">
        <f>"1"</f>
        <v>1</v>
      </c>
      <c r="K548" t="str">
        <f>"3"</f>
        <v>3</v>
      </c>
      <c r="L548" t="str">
        <f>"TN"</f>
        <v>TN</v>
      </c>
      <c r="M548" t="str">
        <f>"0.000"</f>
        <v>0.000</v>
      </c>
      <c r="N548" t="str">
        <f>"0.1544"</f>
        <v>0.1544</v>
      </c>
      <c r="O548" t="str">
        <f>"NPOC:0.8832mg/L TN:0.1544mg/L"</f>
        <v>NPOC:0.8832mg/L TN:0.1544mg/L</v>
      </c>
      <c r="P548">
        <v>0</v>
      </c>
      <c r="Q548" t="str">
        <f>"80"</f>
        <v>80</v>
      </c>
    </row>
    <row r="549" spans="1:17" x14ac:dyDescent="0.2">
      <c r="A549" t="str">
        <f>"Unknown"</f>
        <v>Unknown</v>
      </c>
      <c r="B549" t="str">
        <f>"NPOC/TN"</f>
        <v>NPOC/TN</v>
      </c>
      <c r="C549" t="str">
        <f>"1133"</f>
        <v>1133</v>
      </c>
      <c r="D549" t="str">
        <f>"DI"</f>
        <v>DI</v>
      </c>
      <c r="E549" t="str">
        <f>"C:\TOC3201\Methods\Itamar\acid_sample.met"</f>
        <v>C:\TOC3201\Methods\Itamar\acid_sample.met</v>
      </c>
      <c r="F549" t="str">
        <f>"C:\TOC3201\CalCurves\Itamar\C_cal_100ppm_acid_laurel.2019_08_21_13_17_46.cal"</f>
        <v>C:\TOC3201\CalCurves\Itamar\C_cal_100ppm_acid_laurel.2019_08_21_13_17_46.cal</v>
      </c>
      <c r="G549">
        <v>1</v>
      </c>
      <c r="H549" t="str">
        <f>""</f>
        <v/>
      </c>
      <c r="I549" t="str">
        <f>"8/22/2019 3:57:13 PM"</f>
        <v>8/22/2019 3:57:13 PM</v>
      </c>
      <c r="J549" t="str">
        <f>"1"</f>
        <v>1</v>
      </c>
      <c r="K549" t="str">
        <f>"1"</f>
        <v>1</v>
      </c>
      <c r="L549" t="str">
        <f>"NPOC"</f>
        <v>NPOC</v>
      </c>
      <c r="M549" t="str">
        <f>"5.710"</f>
        <v>5.710</v>
      </c>
      <c r="N549" t="str">
        <f>"0.8426"</f>
        <v>0.8426</v>
      </c>
      <c r="O549" t="str">
        <f>"NPOC:0.9145mg/L TN:0.1544mg/L"</f>
        <v>NPOC:0.9145mg/L TN:0.1544mg/L</v>
      </c>
      <c r="P549">
        <v>1</v>
      </c>
      <c r="Q549" t="str">
        <f>"80"</f>
        <v>80</v>
      </c>
    </row>
    <row r="550" spans="1:17" x14ac:dyDescent="0.2">
      <c r="A550" t="str">
        <f>"Unknown"</f>
        <v>Unknown</v>
      </c>
      <c r="B550" t="str">
        <f>"NPOC/TN"</f>
        <v>NPOC/TN</v>
      </c>
      <c r="C550" t="str">
        <f>"1133"</f>
        <v>1133</v>
      </c>
      <c r="D550" t="str">
        <f>"DI"</f>
        <v>DI</v>
      </c>
      <c r="E550" t="str">
        <f>"C:\TOC3201\Methods\Itamar\acid_sample.met"</f>
        <v>C:\TOC3201\Methods\Itamar\acid_sample.met</v>
      </c>
      <c r="F550" t="str">
        <f>"C:\TOC3201\CalCurves\Itamar\C_cal_100ppm_acid_laurel.2019_08_21_13_17_46.cal"</f>
        <v>C:\TOC3201\CalCurves\Itamar\C_cal_100ppm_acid_laurel.2019_08_21_13_17_46.cal</v>
      </c>
      <c r="G550">
        <v>1</v>
      </c>
      <c r="H550" t="str">
        <f>""</f>
        <v/>
      </c>
      <c r="I550" t="str">
        <f>"8/22/2019 4:00:03 PM"</f>
        <v>8/22/2019 4:00:03 PM</v>
      </c>
      <c r="J550" t="str">
        <f>"1"</f>
        <v>1</v>
      </c>
      <c r="K550" t="str">
        <f>"2"</f>
        <v>2</v>
      </c>
      <c r="L550" t="str">
        <f>"NPOC"</f>
        <v>NPOC</v>
      </c>
      <c r="M550" t="str">
        <f>"5.768"</f>
        <v>5.768</v>
      </c>
      <c r="N550" t="str">
        <f>"0.8544"</f>
        <v>0.8544</v>
      </c>
      <c r="O550" t="str">
        <f>"NPOC:0.9145mg/L TN:0.1544mg/L"</f>
        <v>NPOC:0.9145mg/L TN:0.1544mg/L</v>
      </c>
      <c r="P550">
        <v>1</v>
      </c>
      <c r="Q550" t="str">
        <f>"80"</f>
        <v>80</v>
      </c>
    </row>
    <row r="551" spans="1:17" x14ac:dyDescent="0.2">
      <c r="A551" t="str">
        <f>"Unknown"</f>
        <v>Unknown</v>
      </c>
      <c r="B551" t="str">
        <f>"NPOC/TN"</f>
        <v>NPOC/TN</v>
      </c>
      <c r="C551" t="str">
        <f>"1133"</f>
        <v>1133</v>
      </c>
      <c r="D551" t="str">
        <f>"DI"</f>
        <v>DI</v>
      </c>
      <c r="E551" t="str">
        <f>"C:\TOC3201\Methods\Itamar\acid_sample.met"</f>
        <v>C:\TOC3201\Methods\Itamar\acid_sample.met</v>
      </c>
      <c r="F551" t="str">
        <f>"C:\TOC3201\CalCurves\Itamar\C_cal_100ppm_acid_laurel.2019_08_21_13_17_46.cal"</f>
        <v>C:\TOC3201\CalCurves\Itamar\C_cal_100ppm_acid_laurel.2019_08_21_13_17_46.cal</v>
      </c>
      <c r="G551">
        <v>1</v>
      </c>
      <c r="H551" t="str">
        <f>""</f>
        <v/>
      </c>
      <c r="I551" t="str">
        <f>"8/22/2019 4:02:59 PM"</f>
        <v>8/22/2019 4:02:59 PM</v>
      </c>
      <c r="J551" t="str">
        <f>"1"</f>
        <v>1</v>
      </c>
      <c r="K551" t="str">
        <f>"3"</f>
        <v>3</v>
      </c>
      <c r="L551" t="str">
        <f>"NPOC"</f>
        <v>NPOC</v>
      </c>
      <c r="M551" t="str">
        <f>"6.166"</f>
        <v>6.166</v>
      </c>
      <c r="N551" t="str">
        <f>"0.9358"</f>
        <v>0.9358</v>
      </c>
      <c r="O551" t="str">
        <f>"NPOC:0.9145mg/L TN:0.1544mg/L"</f>
        <v>NPOC:0.9145mg/L TN:0.1544mg/L</v>
      </c>
      <c r="P551">
        <v>0</v>
      </c>
      <c r="Q551" t="str">
        <f>"80"</f>
        <v>80</v>
      </c>
    </row>
    <row r="552" spans="1:17" x14ac:dyDescent="0.2">
      <c r="A552" t="str">
        <f>"Unknown"</f>
        <v>Unknown</v>
      </c>
      <c r="B552" t="str">
        <f>"NPOC/TN"</f>
        <v>NPOC/TN</v>
      </c>
      <c r="C552" t="str">
        <f>"1133"</f>
        <v>1133</v>
      </c>
      <c r="D552" t="str">
        <f>"DI"</f>
        <v>DI</v>
      </c>
      <c r="E552" t="str">
        <f>"C:\TOC3201\Methods\Itamar\acid_sample.met"</f>
        <v>C:\TOC3201\Methods\Itamar\acid_sample.met</v>
      </c>
      <c r="F552" t="str">
        <f>"C:\TOC3201\CalCurves\Itamar\C_cal_100ppm_acid_laurel.2019_08_21_13_17_46.cal"</f>
        <v>C:\TOC3201\CalCurves\Itamar\C_cal_100ppm_acid_laurel.2019_08_21_13_17_46.cal</v>
      </c>
      <c r="G552">
        <v>1</v>
      </c>
      <c r="H552" t="str">
        <f>""</f>
        <v/>
      </c>
      <c r="I552" t="str">
        <f>"8/22/2019 4:05:54 PM"</f>
        <v>8/22/2019 4:05:54 PM</v>
      </c>
      <c r="J552" t="str">
        <f>"1"</f>
        <v>1</v>
      </c>
      <c r="K552" t="str">
        <f>"4"</f>
        <v>4</v>
      </c>
      <c r="L552" t="str">
        <f>"NPOC"</f>
        <v>NPOC</v>
      </c>
      <c r="M552" t="str">
        <f>"6.064"</f>
        <v>6.064</v>
      </c>
      <c r="N552" t="str">
        <f>"0.9149"</f>
        <v>0.9149</v>
      </c>
      <c r="O552" t="str">
        <f>"NPOC:0.9145mg/L TN:0.1544mg/L"</f>
        <v>NPOC:0.9145mg/L TN:0.1544mg/L</v>
      </c>
      <c r="P552">
        <v>0</v>
      </c>
      <c r="Q552" t="str">
        <f>"80"</f>
        <v>80</v>
      </c>
    </row>
    <row r="553" spans="1:17" x14ac:dyDescent="0.2">
      <c r="A553" t="str">
        <f>"Unknown"</f>
        <v>Unknown</v>
      </c>
      <c r="B553" t="str">
        <f>"NPOC/TN"</f>
        <v>NPOC/TN</v>
      </c>
      <c r="C553" t="str">
        <f>"1133"</f>
        <v>1133</v>
      </c>
      <c r="D553" t="str">
        <f>"DI"</f>
        <v>DI</v>
      </c>
      <c r="E553" t="str">
        <f>"C:\TOC3201\Methods\Itamar\acid_sample.met"</f>
        <v>C:\TOC3201\Methods\Itamar\acid_sample.met</v>
      </c>
      <c r="F553" t="str">
        <f>"C:\TOC3201\CalCurves\Itamar\C_cal_100ppm_acid_laurel.2019_08_21_13_17_46.cal"</f>
        <v>C:\TOC3201\CalCurves\Itamar\C_cal_100ppm_acid_laurel.2019_08_21_13_17_46.cal</v>
      </c>
      <c r="G553">
        <v>1</v>
      </c>
      <c r="H553" t="str">
        <f>""</f>
        <v/>
      </c>
      <c r="I553" t="str">
        <f>"8/22/2019 4:08:47 PM"</f>
        <v>8/22/2019 4:08:47 PM</v>
      </c>
      <c r="J553" t="str">
        <f>"1"</f>
        <v>1</v>
      </c>
      <c r="K553" t="str">
        <f>"5"</f>
        <v>5</v>
      </c>
      <c r="L553" t="str">
        <f>"NPOC"</f>
        <v>NPOC</v>
      </c>
      <c r="M553" t="str">
        <f>"5.956"</f>
        <v>5.956</v>
      </c>
      <c r="N553" t="str">
        <f>"0.8929"</f>
        <v>0.8929</v>
      </c>
      <c r="O553" t="str">
        <f>"NPOC:0.9145mg/L TN:0.1544mg/L"</f>
        <v>NPOC:0.9145mg/L TN:0.1544mg/L</v>
      </c>
      <c r="P553">
        <v>0</v>
      </c>
      <c r="Q553" t="str">
        <f>"80"</f>
        <v>80</v>
      </c>
    </row>
    <row r="554" spans="1:17" x14ac:dyDescent="0.2">
      <c r="A554" t="str">
        <f>"Unknown"</f>
        <v>Unknown</v>
      </c>
      <c r="B554" t="str">
        <f>"NPOC/TN"</f>
        <v>NPOC/TN</v>
      </c>
      <c r="C554" t="str">
        <f>"1133"</f>
        <v>1133</v>
      </c>
      <c r="D554" t="str">
        <f>"DI"</f>
        <v>DI</v>
      </c>
      <c r="E554" t="str">
        <f>"C:\TOC3201\Methods\Itamar\acid_sample.met"</f>
        <v>C:\TOC3201\Methods\Itamar\acid_sample.met</v>
      </c>
      <c r="F554" t="str">
        <f>"C:\TOC3201\CalCurves\Itamar\N_cal_25ppm_acid_laurel.2019_08_21_15_23_49.cal"</f>
        <v>C:\TOC3201\CalCurves\Itamar\N_cal_25ppm_acid_laurel.2019_08_21_15_23_49.cal</v>
      </c>
      <c r="G554">
        <v>1</v>
      </c>
      <c r="H554" t="str">
        <f>""</f>
        <v/>
      </c>
      <c r="I554" t="str">
        <f>"8/22/2019 3:57:13 PM"</f>
        <v>8/22/2019 3:57:13 PM</v>
      </c>
      <c r="J554" t="str">
        <f>"1"</f>
        <v>1</v>
      </c>
      <c r="K554" t="str">
        <f>"1"</f>
        <v>1</v>
      </c>
      <c r="L554" t="str">
        <f>"TN"</f>
        <v>TN</v>
      </c>
      <c r="M554" t="str">
        <f>"0.000"</f>
        <v>0.000</v>
      </c>
      <c r="N554" t="str">
        <f>"0.1544"</f>
        <v>0.1544</v>
      </c>
      <c r="O554" t="str">
        <f>"NPOC:0.9145mg/L TN:0.1544mg/L"</f>
        <v>NPOC:0.9145mg/L TN:0.1544mg/L</v>
      </c>
      <c r="P554">
        <v>0</v>
      </c>
      <c r="Q554" t="str">
        <f>"80"</f>
        <v>80</v>
      </c>
    </row>
    <row r="555" spans="1:17" x14ac:dyDescent="0.2">
      <c r="A555" t="str">
        <f>"Unknown"</f>
        <v>Unknown</v>
      </c>
      <c r="B555" t="str">
        <f>"NPOC/TN"</f>
        <v>NPOC/TN</v>
      </c>
      <c r="C555" t="str">
        <f>"1133"</f>
        <v>1133</v>
      </c>
      <c r="D555" t="str">
        <f>"DI"</f>
        <v>DI</v>
      </c>
      <c r="E555" t="str">
        <f>"C:\TOC3201\Methods\Itamar\acid_sample.met"</f>
        <v>C:\TOC3201\Methods\Itamar\acid_sample.met</v>
      </c>
      <c r="F555" t="str">
        <f>"C:\TOC3201\CalCurves\Itamar\N_cal_25ppm_acid_laurel.2019_08_21_15_23_49.cal"</f>
        <v>C:\TOC3201\CalCurves\Itamar\N_cal_25ppm_acid_laurel.2019_08_21_15_23_49.cal</v>
      </c>
      <c r="G555">
        <v>1</v>
      </c>
      <c r="H555" t="str">
        <f>""</f>
        <v/>
      </c>
      <c r="I555" t="str">
        <f>"8/22/2019 4:00:03 PM"</f>
        <v>8/22/2019 4:00:03 PM</v>
      </c>
      <c r="J555" t="str">
        <f>"1"</f>
        <v>1</v>
      </c>
      <c r="K555" t="str">
        <f>"2"</f>
        <v>2</v>
      </c>
      <c r="L555" t="str">
        <f>"TN"</f>
        <v>TN</v>
      </c>
      <c r="M555" t="str">
        <f>"0.000"</f>
        <v>0.000</v>
      </c>
      <c r="N555" t="str">
        <f>"0.1544"</f>
        <v>0.1544</v>
      </c>
      <c r="O555" t="str">
        <f>"NPOC:0.9145mg/L TN:0.1544mg/L"</f>
        <v>NPOC:0.9145mg/L TN:0.1544mg/L</v>
      </c>
      <c r="P555">
        <v>0</v>
      </c>
      <c r="Q555" t="str">
        <f>"80"</f>
        <v>80</v>
      </c>
    </row>
    <row r="556" spans="1:17" x14ac:dyDescent="0.2">
      <c r="A556" t="str">
        <f>"Unknown"</f>
        <v>Unknown</v>
      </c>
      <c r="B556" t="str">
        <f>"NPOC/TN"</f>
        <v>NPOC/TN</v>
      </c>
      <c r="C556" t="str">
        <f>"1133"</f>
        <v>1133</v>
      </c>
      <c r="D556" t="str">
        <f>"DI"</f>
        <v>DI</v>
      </c>
      <c r="E556" t="str">
        <f>"C:\TOC3201\Methods\Itamar\acid_sample.met"</f>
        <v>C:\TOC3201\Methods\Itamar\acid_sample.met</v>
      </c>
      <c r="F556" t="str">
        <f>"C:\TOC3201\CalCurves\Itamar\N_cal_25ppm_acid_laurel.2019_08_21_15_23_49.cal"</f>
        <v>C:\TOC3201\CalCurves\Itamar\N_cal_25ppm_acid_laurel.2019_08_21_15_23_49.cal</v>
      </c>
      <c r="G556">
        <v>1</v>
      </c>
      <c r="H556" t="str">
        <f>""</f>
        <v/>
      </c>
      <c r="I556" t="str">
        <f>"8/22/2019 4:02:59 PM"</f>
        <v>8/22/2019 4:02:59 PM</v>
      </c>
      <c r="J556" t="str">
        <f>"1"</f>
        <v>1</v>
      </c>
      <c r="K556" t="str">
        <f>"3"</f>
        <v>3</v>
      </c>
      <c r="L556" t="str">
        <f>"TN"</f>
        <v>TN</v>
      </c>
      <c r="M556" t="str">
        <f>"0.000"</f>
        <v>0.000</v>
      </c>
      <c r="N556" t="str">
        <f>"0.1544"</f>
        <v>0.1544</v>
      </c>
      <c r="O556" t="str">
        <f>"NPOC:0.9145mg/L TN:0.1544mg/L"</f>
        <v>NPOC:0.9145mg/L TN:0.1544mg/L</v>
      </c>
      <c r="P556">
        <v>0</v>
      </c>
      <c r="Q556" t="str">
        <f>"80"</f>
        <v>80</v>
      </c>
    </row>
    <row r="557" spans="1:17" x14ac:dyDescent="0.2">
      <c r="A557" t="str">
        <f>"Unknown"</f>
        <v>Unknown</v>
      </c>
      <c r="B557" t="str">
        <f>"NPOC/TN"</f>
        <v>NPOC/TN</v>
      </c>
      <c r="C557" t="str">
        <f>"1135"</f>
        <v>1135</v>
      </c>
      <c r="D557" t="str">
        <f>"DI"</f>
        <v>DI</v>
      </c>
      <c r="E557" t="str">
        <f>"C:\TOC3201\Methods\Itamar\acid_sample.met"</f>
        <v>C:\TOC3201\Methods\Itamar\acid_sample.met</v>
      </c>
      <c r="F557" t="str">
        <f>"C:\TOC3201\CalCurves\Itamar\C_cal_100ppm_acid_laurel.2019_08_21_13_17_46.cal"</f>
        <v>C:\TOC3201\CalCurves\Itamar\C_cal_100ppm_acid_laurel.2019_08_21_13_17_46.cal</v>
      </c>
      <c r="G557">
        <v>1</v>
      </c>
      <c r="H557" t="str">
        <f>""</f>
        <v/>
      </c>
      <c r="I557" t="str">
        <f>"8/22/2019 4:18:50 PM"</f>
        <v>8/22/2019 4:18:50 PM</v>
      </c>
      <c r="J557" t="str">
        <f>"1"</f>
        <v>1</v>
      </c>
      <c r="K557" t="str">
        <f>"1"</f>
        <v>1</v>
      </c>
      <c r="L557" t="str">
        <f>"NPOC"</f>
        <v>NPOC</v>
      </c>
      <c r="M557" t="str">
        <f>"53.14"</f>
        <v>53.14</v>
      </c>
      <c r="N557" t="str">
        <f>"10.54"</f>
        <v>10.54</v>
      </c>
      <c r="O557" t="str">
        <f>"NPOC:10.45mg/L TN:0.6965mg/L"</f>
        <v>NPOC:10.45mg/L TN:0.6965mg/L</v>
      </c>
      <c r="P557">
        <v>0</v>
      </c>
      <c r="Q557" t="str">
        <f>"80"</f>
        <v>80</v>
      </c>
    </row>
    <row r="558" spans="1:17" x14ac:dyDescent="0.2">
      <c r="A558" t="str">
        <f>"Unknown"</f>
        <v>Unknown</v>
      </c>
      <c r="B558" t="str">
        <f>"NPOC/TN"</f>
        <v>NPOC/TN</v>
      </c>
      <c r="C558" t="str">
        <f>"1135"</f>
        <v>1135</v>
      </c>
      <c r="D558" t="str">
        <f>"DI"</f>
        <v>DI</v>
      </c>
      <c r="E558" t="str">
        <f>"C:\TOC3201\Methods\Itamar\acid_sample.met"</f>
        <v>C:\TOC3201\Methods\Itamar\acid_sample.met</v>
      </c>
      <c r="F558" t="str">
        <f>"C:\TOC3201\CalCurves\Itamar\C_cal_100ppm_acid_laurel.2019_08_21_13_17_46.cal"</f>
        <v>C:\TOC3201\CalCurves\Itamar\C_cal_100ppm_acid_laurel.2019_08_21_13_17_46.cal</v>
      </c>
      <c r="G558">
        <v>1</v>
      </c>
      <c r="H558" t="str">
        <f>""</f>
        <v/>
      </c>
      <c r="I558" t="str">
        <f>"8/22/2019 4:22:23 PM"</f>
        <v>8/22/2019 4:22:23 PM</v>
      </c>
      <c r="J558" t="str">
        <f>"1"</f>
        <v>1</v>
      </c>
      <c r="K558" t="str">
        <f>"2"</f>
        <v>2</v>
      </c>
      <c r="L558" t="str">
        <f>"NPOC"</f>
        <v>NPOC</v>
      </c>
      <c r="M558" t="str">
        <f>"51.82"</f>
        <v>51.82</v>
      </c>
      <c r="N558" t="str">
        <f>"10.27"</f>
        <v>10.27</v>
      </c>
      <c r="O558" t="str">
        <f>"NPOC:10.45mg/L TN:0.6965mg/L"</f>
        <v>NPOC:10.45mg/L TN:0.6965mg/L</v>
      </c>
      <c r="P558">
        <v>0</v>
      </c>
      <c r="Q558" t="str">
        <f>"80"</f>
        <v>80</v>
      </c>
    </row>
    <row r="559" spans="1:17" x14ac:dyDescent="0.2">
      <c r="A559" t="str">
        <f>"Unknown"</f>
        <v>Unknown</v>
      </c>
      <c r="B559" t="str">
        <f>"NPOC/TN"</f>
        <v>NPOC/TN</v>
      </c>
      <c r="C559" t="str">
        <f>"1135"</f>
        <v>1135</v>
      </c>
      <c r="D559" t="str">
        <f>"DI"</f>
        <v>DI</v>
      </c>
      <c r="E559" t="str">
        <f>"C:\TOC3201\Methods\Itamar\acid_sample.met"</f>
        <v>C:\TOC3201\Methods\Itamar\acid_sample.met</v>
      </c>
      <c r="F559" t="str">
        <f>"C:\TOC3201\CalCurves\Itamar\C_cal_100ppm_acid_laurel.2019_08_21_13_17_46.cal"</f>
        <v>C:\TOC3201\CalCurves\Itamar\C_cal_100ppm_acid_laurel.2019_08_21_13_17_46.cal</v>
      </c>
      <c r="G559">
        <v>1</v>
      </c>
      <c r="H559" t="str">
        <f>""</f>
        <v/>
      </c>
      <c r="I559" t="str">
        <f>"8/22/2019 4:26:03 PM"</f>
        <v>8/22/2019 4:26:03 PM</v>
      </c>
      <c r="J559" t="str">
        <f>"1"</f>
        <v>1</v>
      </c>
      <c r="K559" t="str">
        <f>"3"</f>
        <v>3</v>
      </c>
      <c r="L559" t="str">
        <f>"NPOC"</f>
        <v>NPOC</v>
      </c>
      <c r="M559" t="str">
        <f>"56.43"</f>
        <v>56.43</v>
      </c>
      <c r="N559" t="str">
        <f>"11.21"</f>
        <v>11.21</v>
      </c>
      <c r="O559" t="str">
        <f>"NPOC:10.45mg/L TN:0.6965mg/L"</f>
        <v>NPOC:10.45mg/L TN:0.6965mg/L</v>
      </c>
      <c r="P559">
        <v>1</v>
      </c>
      <c r="Q559" t="str">
        <f>"80"</f>
        <v>80</v>
      </c>
    </row>
    <row r="560" spans="1:17" x14ac:dyDescent="0.2">
      <c r="A560" t="str">
        <f>"Unknown"</f>
        <v>Unknown</v>
      </c>
      <c r="B560" t="str">
        <f>"NPOC/TN"</f>
        <v>NPOC/TN</v>
      </c>
      <c r="C560" t="str">
        <f>"1135"</f>
        <v>1135</v>
      </c>
      <c r="D560" t="str">
        <f>"DI"</f>
        <v>DI</v>
      </c>
      <c r="E560" t="str">
        <f>"C:\TOC3201\Methods\Itamar\acid_sample.met"</f>
        <v>C:\TOC3201\Methods\Itamar\acid_sample.met</v>
      </c>
      <c r="F560" t="str">
        <f>"C:\TOC3201\CalCurves\Itamar\C_cal_100ppm_acid_laurel.2019_08_21_13_17_46.cal"</f>
        <v>C:\TOC3201\CalCurves\Itamar\C_cal_100ppm_acid_laurel.2019_08_21_13_17_46.cal</v>
      </c>
      <c r="G560">
        <v>1</v>
      </c>
      <c r="H560" t="str">
        <f>""</f>
        <v/>
      </c>
      <c r="I560" t="str">
        <f>"8/22/2019 4:29:46 PM"</f>
        <v>8/22/2019 4:29:46 PM</v>
      </c>
      <c r="J560" t="str">
        <f>"1"</f>
        <v>1</v>
      </c>
      <c r="K560" t="str">
        <f>"4"</f>
        <v>4</v>
      </c>
      <c r="L560" t="str">
        <f>"NPOC"</f>
        <v>NPOC</v>
      </c>
      <c r="M560" t="str">
        <f>"55.60"</f>
        <v>55.60</v>
      </c>
      <c r="N560" t="str">
        <f>"11.04"</f>
        <v>11.04</v>
      </c>
      <c r="O560" t="str">
        <f>"NPOC:10.45mg/L TN:0.6965mg/L"</f>
        <v>NPOC:10.45mg/L TN:0.6965mg/L</v>
      </c>
      <c r="P560">
        <v>1</v>
      </c>
      <c r="Q560" t="str">
        <f>"80"</f>
        <v>80</v>
      </c>
    </row>
    <row r="561" spans="1:17" x14ac:dyDescent="0.2">
      <c r="A561" t="str">
        <f>"Unknown"</f>
        <v>Unknown</v>
      </c>
      <c r="B561" t="str">
        <f>"NPOC/TN"</f>
        <v>NPOC/TN</v>
      </c>
      <c r="C561" t="str">
        <f>"1135"</f>
        <v>1135</v>
      </c>
      <c r="D561" t="str">
        <f>"DI"</f>
        <v>DI</v>
      </c>
      <c r="E561" t="str">
        <f>"C:\TOC3201\Methods\Itamar\acid_sample.met"</f>
        <v>C:\TOC3201\Methods\Itamar\acid_sample.met</v>
      </c>
      <c r="F561" t="str">
        <f>"C:\TOC3201\CalCurves\Itamar\C_cal_100ppm_acid_laurel.2019_08_21_13_17_46.cal"</f>
        <v>C:\TOC3201\CalCurves\Itamar\C_cal_100ppm_acid_laurel.2019_08_21_13_17_46.cal</v>
      </c>
      <c r="G561">
        <v>1</v>
      </c>
      <c r="H561" t="str">
        <f>""</f>
        <v/>
      </c>
      <c r="I561" t="str">
        <f>"8/22/2019 4:33:25 PM"</f>
        <v>8/22/2019 4:33:25 PM</v>
      </c>
      <c r="J561" t="str">
        <f>"1"</f>
        <v>1</v>
      </c>
      <c r="K561" t="str">
        <f>"5"</f>
        <v>5</v>
      </c>
      <c r="L561" t="str">
        <f>"NPOC"</f>
        <v>NPOC</v>
      </c>
      <c r="M561" t="str">
        <f>"53.17"</f>
        <v>53.17</v>
      </c>
      <c r="N561" t="str">
        <f>"10.55"</f>
        <v>10.55</v>
      </c>
      <c r="O561" t="str">
        <f>"NPOC:10.45mg/L TN:0.6965mg/L"</f>
        <v>NPOC:10.45mg/L TN:0.6965mg/L</v>
      </c>
      <c r="P561">
        <v>0</v>
      </c>
      <c r="Q561" t="str">
        <f>"80"</f>
        <v>80</v>
      </c>
    </row>
    <row r="562" spans="1:17" x14ac:dyDescent="0.2">
      <c r="A562" t="str">
        <f>"Unknown"</f>
        <v>Unknown</v>
      </c>
      <c r="B562" t="str">
        <f>"NPOC/TN"</f>
        <v>NPOC/TN</v>
      </c>
      <c r="C562" t="str">
        <f>"1135"</f>
        <v>1135</v>
      </c>
      <c r="D562" t="str">
        <f>"DI"</f>
        <v>DI</v>
      </c>
      <c r="E562" t="str">
        <f>"C:\TOC3201\Methods\Itamar\acid_sample.met"</f>
        <v>C:\TOC3201\Methods\Itamar\acid_sample.met</v>
      </c>
      <c r="F562" t="str">
        <f>"C:\TOC3201\CalCurves\Itamar\N_cal_25ppm_acid_laurel.2019_08_21_15_23_49.cal"</f>
        <v>C:\TOC3201\CalCurves\Itamar\N_cal_25ppm_acid_laurel.2019_08_21_15_23_49.cal</v>
      </c>
      <c r="G562">
        <v>1</v>
      </c>
      <c r="H562" t="str">
        <f>""</f>
        <v/>
      </c>
      <c r="I562" t="str">
        <f>"8/22/2019 4:18:51 PM"</f>
        <v>8/22/2019 4:18:51 PM</v>
      </c>
      <c r="J562" t="str">
        <f>"1"</f>
        <v>1</v>
      </c>
      <c r="K562" t="str">
        <f>"1"</f>
        <v>1</v>
      </c>
      <c r="L562" t="str">
        <f>"TN"</f>
        <v>TN</v>
      </c>
      <c r="M562" t="str">
        <f>"1.726"</f>
        <v>1.726</v>
      </c>
      <c r="N562" t="str">
        <f>"0.6278"</f>
        <v>0.6278</v>
      </c>
      <c r="O562" t="str">
        <f>"NPOC:10.45mg/L TN:0.6965mg/L"</f>
        <v>NPOC:10.45mg/L TN:0.6965mg/L</v>
      </c>
      <c r="P562">
        <v>1</v>
      </c>
      <c r="Q562" t="str">
        <f>"80"</f>
        <v>80</v>
      </c>
    </row>
    <row r="563" spans="1:17" x14ac:dyDescent="0.2">
      <c r="A563" t="str">
        <f>"Unknown"</f>
        <v>Unknown</v>
      </c>
      <c r="B563" t="str">
        <f>"NPOC/TN"</f>
        <v>NPOC/TN</v>
      </c>
      <c r="C563" t="str">
        <f>"1135"</f>
        <v>1135</v>
      </c>
      <c r="D563" t="str">
        <f>"DI"</f>
        <v>DI</v>
      </c>
      <c r="E563" t="str">
        <f>"C:\TOC3201\Methods\Itamar\acid_sample.met"</f>
        <v>C:\TOC3201\Methods\Itamar\acid_sample.met</v>
      </c>
      <c r="F563" t="str">
        <f>"C:\TOC3201\CalCurves\Itamar\N_cal_25ppm_acid_laurel.2019_08_21_15_23_49.cal"</f>
        <v>C:\TOC3201\CalCurves\Itamar\N_cal_25ppm_acid_laurel.2019_08_21_15_23_49.cal</v>
      </c>
      <c r="G563">
        <v>1</v>
      </c>
      <c r="H563" t="str">
        <f>""</f>
        <v/>
      </c>
      <c r="I563" t="str">
        <f>"8/22/2019 4:22:23 PM"</f>
        <v>8/22/2019 4:22:23 PM</v>
      </c>
      <c r="J563" t="str">
        <f>"1"</f>
        <v>1</v>
      </c>
      <c r="K563" t="str">
        <f>"2"</f>
        <v>2</v>
      </c>
      <c r="L563" t="str">
        <f>"TN"</f>
        <v>TN</v>
      </c>
      <c r="M563" t="str">
        <f>"2.091"</f>
        <v>2.091</v>
      </c>
      <c r="N563" t="str">
        <f>"0.7279"</f>
        <v>0.7279</v>
      </c>
      <c r="O563" t="str">
        <f>"NPOC:10.45mg/L TN:0.6965mg/L"</f>
        <v>NPOC:10.45mg/L TN:0.6965mg/L</v>
      </c>
      <c r="P563">
        <v>0</v>
      </c>
      <c r="Q563" t="str">
        <f>"80"</f>
        <v>80</v>
      </c>
    </row>
    <row r="564" spans="1:17" x14ac:dyDescent="0.2">
      <c r="A564" t="str">
        <f>"Unknown"</f>
        <v>Unknown</v>
      </c>
      <c r="B564" t="str">
        <f>"NPOC/TN"</f>
        <v>NPOC/TN</v>
      </c>
      <c r="C564" t="str">
        <f>"1135"</f>
        <v>1135</v>
      </c>
      <c r="D564" t="str">
        <f>"DI"</f>
        <v>DI</v>
      </c>
      <c r="E564" t="str">
        <f>"C:\TOC3201\Methods\Itamar\acid_sample.met"</f>
        <v>C:\TOC3201\Methods\Itamar\acid_sample.met</v>
      </c>
      <c r="F564" t="str">
        <f>"C:\TOC3201\CalCurves\Itamar\N_cal_25ppm_acid_laurel.2019_08_21_15_23_49.cal"</f>
        <v>C:\TOC3201\CalCurves\Itamar\N_cal_25ppm_acid_laurel.2019_08_21_15_23_49.cal</v>
      </c>
      <c r="G564">
        <v>1</v>
      </c>
      <c r="H564" t="str">
        <f>""</f>
        <v/>
      </c>
      <c r="I564" t="str">
        <f>"8/22/2019 4:26:03 PM"</f>
        <v>8/22/2019 4:26:03 PM</v>
      </c>
      <c r="J564" t="str">
        <f>"1"</f>
        <v>1</v>
      </c>
      <c r="K564" t="str">
        <f>"3"</f>
        <v>3</v>
      </c>
      <c r="L564" t="str">
        <f>"TN"</f>
        <v>TN</v>
      </c>
      <c r="M564" t="str">
        <f>"1.678"</f>
        <v>1.678</v>
      </c>
      <c r="N564" t="str">
        <f>"0.6146"</f>
        <v>0.6146</v>
      </c>
      <c r="O564" t="str">
        <f>"NPOC:10.45mg/L TN:0.6965mg/L"</f>
        <v>NPOC:10.45mg/L TN:0.6965mg/L</v>
      </c>
      <c r="P564">
        <v>1</v>
      </c>
      <c r="Q564" t="str">
        <f>"80"</f>
        <v>80</v>
      </c>
    </row>
    <row r="565" spans="1:17" x14ac:dyDescent="0.2">
      <c r="A565" t="str">
        <f>"Unknown"</f>
        <v>Unknown</v>
      </c>
      <c r="B565" t="str">
        <f>"NPOC/TN"</f>
        <v>NPOC/TN</v>
      </c>
      <c r="C565" t="str">
        <f>"1135"</f>
        <v>1135</v>
      </c>
      <c r="D565" t="str">
        <f>"DI"</f>
        <v>DI</v>
      </c>
      <c r="E565" t="str">
        <f>"C:\TOC3201\Methods\Itamar\acid_sample.met"</f>
        <v>C:\TOC3201\Methods\Itamar\acid_sample.met</v>
      </c>
      <c r="F565" t="str">
        <f>"C:\TOC3201\CalCurves\Itamar\N_cal_25ppm_acid_laurel.2019_08_21_15_23_49.cal"</f>
        <v>C:\TOC3201\CalCurves\Itamar\N_cal_25ppm_acid_laurel.2019_08_21_15_23_49.cal</v>
      </c>
      <c r="G565">
        <v>1</v>
      </c>
      <c r="H565" t="str">
        <f>""</f>
        <v/>
      </c>
      <c r="I565" t="str">
        <f>"8/22/2019 4:29:46 PM"</f>
        <v>8/22/2019 4:29:46 PM</v>
      </c>
      <c r="J565" t="str">
        <f>"1"</f>
        <v>1</v>
      </c>
      <c r="K565" t="str">
        <f>"4"</f>
        <v>4</v>
      </c>
      <c r="L565" t="str">
        <f>"TN"</f>
        <v>TN</v>
      </c>
      <c r="M565" t="str">
        <f>"1.939"</f>
        <v>1.939</v>
      </c>
      <c r="N565" t="str">
        <f>"0.6862"</f>
        <v>0.6862</v>
      </c>
      <c r="O565" t="str">
        <f>"NPOC:10.45mg/L TN:0.6965mg/L"</f>
        <v>NPOC:10.45mg/L TN:0.6965mg/L</v>
      </c>
      <c r="P565">
        <v>0</v>
      </c>
      <c r="Q565" t="str">
        <f>"80"</f>
        <v>80</v>
      </c>
    </row>
    <row r="566" spans="1:17" x14ac:dyDescent="0.2">
      <c r="A566" t="str">
        <f>"Unknown"</f>
        <v>Unknown</v>
      </c>
      <c r="B566" t="str">
        <f>"NPOC/TN"</f>
        <v>NPOC/TN</v>
      </c>
      <c r="C566" t="str">
        <f>"1135"</f>
        <v>1135</v>
      </c>
      <c r="D566" t="str">
        <f>"DI"</f>
        <v>DI</v>
      </c>
      <c r="E566" t="str">
        <f>"C:\TOC3201\Methods\Itamar\acid_sample.met"</f>
        <v>C:\TOC3201\Methods\Itamar\acid_sample.met</v>
      </c>
      <c r="F566" t="str">
        <f>"C:\TOC3201\CalCurves\Itamar\N_cal_25ppm_acid_laurel.2019_08_21_15_23_49.cal"</f>
        <v>C:\TOC3201\CalCurves\Itamar\N_cal_25ppm_acid_laurel.2019_08_21_15_23_49.cal</v>
      </c>
      <c r="G566">
        <v>1</v>
      </c>
      <c r="H566" t="str">
        <f>""</f>
        <v/>
      </c>
      <c r="I566" t="str">
        <f>"8/22/2019 4:33:25 PM"</f>
        <v>8/22/2019 4:33:25 PM</v>
      </c>
      <c r="J566" t="str">
        <f>"1"</f>
        <v>1</v>
      </c>
      <c r="K566" t="str">
        <f>"5"</f>
        <v>5</v>
      </c>
      <c r="L566" t="str">
        <f>"TN"</f>
        <v>TN</v>
      </c>
      <c r="M566" t="str">
        <f>"1.900"</f>
        <v>1.900</v>
      </c>
      <c r="N566" t="str">
        <f>"0.6755"</f>
        <v>0.6755</v>
      </c>
      <c r="O566" t="str">
        <f>"NPOC:10.45mg/L TN:0.6965mg/L"</f>
        <v>NPOC:10.45mg/L TN:0.6965mg/L</v>
      </c>
      <c r="P566">
        <v>0</v>
      </c>
      <c r="Q566" t="str">
        <f>"80"</f>
        <v>80</v>
      </c>
    </row>
    <row r="567" spans="1:17" x14ac:dyDescent="0.2">
      <c r="A567" t="str">
        <f>"Unknown"</f>
        <v>Unknown</v>
      </c>
      <c r="B567" t="str">
        <f>"NPOC/TN"</f>
        <v>NPOC/TN</v>
      </c>
      <c r="C567" t="str">
        <f>"1137"</f>
        <v>1137</v>
      </c>
      <c r="D567" t="str">
        <f>"DI"</f>
        <v>DI</v>
      </c>
      <c r="E567" t="str">
        <f>"C:\TOC3201\Methods\Itamar\acid_sample.met"</f>
        <v>C:\TOC3201\Methods\Itamar\acid_sample.met</v>
      </c>
      <c r="F567" t="str">
        <f>"C:\TOC3201\CalCurves\Itamar\C_cal_100ppm_acid_laurel.2019_08_21_13_17_46.cal"</f>
        <v>C:\TOC3201\CalCurves\Itamar\C_cal_100ppm_acid_laurel.2019_08_21_13_17_46.cal</v>
      </c>
      <c r="G567">
        <v>1</v>
      </c>
      <c r="H567" t="str">
        <f>""</f>
        <v/>
      </c>
      <c r="I567" t="str">
        <f>"8/22/2019 4:44:07 PM"</f>
        <v>8/22/2019 4:44:07 PM</v>
      </c>
      <c r="J567" t="str">
        <f>"1"</f>
        <v>1</v>
      </c>
      <c r="K567" t="str">
        <f>"1"</f>
        <v>1</v>
      </c>
      <c r="L567" t="str">
        <f>"NPOC"</f>
        <v>NPOC</v>
      </c>
      <c r="M567" t="str">
        <f>"62.62"</f>
        <v>62.62</v>
      </c>
      <c r="N567" t="str">
        <f>"12.48"</f>
        <v>12.48</v>
      </c>
      <c r="O567" t="str">
        <f>"NPOC:11.27mg/L TN:0.7116mg/L"</f>
        <v>NPOC:11.27mg/L TN:0.7116mg/L</v>
      </c>
      <c r="P567">
        <v>1</v>
      </c>
      <c r="Q567" t="str">
        <f>"80"</f>
        <v>80</v>
      </c>
    </row>
    <row r="568" spans="1:17" x14ac:dyDescent="0.2">
      <c r="A568" t="str">
        <f>"Unknown"</f>
        <v>Unknown</v>
      </c>
      <c r="B568" t="str">
        <f>"NPOC/TN"</f>
        <v>NPOC/TN</v>
      </c>
      <c r="C568" t="str">
        <f>"1137"</f>
        <v>1137</v>
      </c>
      <c r="D568" t="str">
        <f>"DI"</f>
        <v>DI</v>
      </c>
      <c r="E568" t="str">
        <f>"C:\TOC3201\Methods\Itamar\acid_sample.met"</f>
        <v>C:\TOC3201\Methods\Itamar\acid_sample.met</v>
      </c>
      <c r="F568" t="str">
        <f>"C:\TOC3201\CalCurves\Itamar\C_cal_100ppm_acid_laurel.2019_08_21_13_17_46.cal"</f>
        <v>C:\TOC3201\CalCurves\Itamar\C_cal_100ppm_acid_laurel.2019_08_21_13_17_46.cal</v>
      </c>
      <c r="G568">
        <v>1</v>
      </c>
      <c r="H568" t="str">
        <f>""</f>
        <v/>
      </c>
      <c r="I568" t="str">
        <f>"8/22/2019 4:47:51 PM"</f>
        <v>8/22/2019 4:47:51 PM</v>
      </c>
      <c r="J568" t="str">
        <f>"1"</f>
        <v>1</v>
      </c>
      <c r="K568" t="str">
        <f>"2"</f>
        <v>2</v>
      </c>
      <c r="L568" t="str">
        <f>"NPOC"</f>
        <v>NPOC</v>
      </c>
      <c r="M568" t="str">
        <f>"55.59"</f>
        <v>55.59</v>
      </c>
      <c r="N568" t="str">
        <f>"11.04"</f>
        <v>11.04</v>
      </c>
      <c r="O568" t="str">
        <f>"NPOC:11.27mg/L TN:0.7116mg/L"</f>
        <v>NPOC:11.27mg/L TN:0.7116mg/L</v>
      </c>
      <c r="P568">
        <v>0</v>
      </c>
      <c r="Q568" t="str">
        <f>"80"</f>
        <v>80</v>
      </c>
    </row>
    <row r="569" spans="1:17" x14ac:dyDescent="0.2">
      <c r="A569" t="str">
        <f>"Unknown"</f>
        <v>Unknown</v>
      </c>
      <c r="B569" t="str">
        <f>"NPOC/TN"</f>
        <v>NPOC/TN</v>
      </c>
      <c r="C569" t="str">
        <f>"1137"</f>
        <v>1137</v>
      </c>
      <c r="D569" t="str">
        <f>"DI"</f>
        <v>DI</v>
      </c>
      <c r="E569" t="str">
        <f>"C:\TOC3201\Methods\Itamar\acid_sample.met"</f>
        <v>C:\TOC3201\Methods\Itamar\acid_sample.met</v>
      </c>
      <c r="F569" t="str">
        <f>"C:\TOC3201\CalCurves\Itamar\C_cal_100ppm_acid_laurel.2019_08_21_13_17_46.cal"</f>
        <v>C:\TOC3201\CalCurves\Itamar\C_cal_100ppm_acid_laurel.2019_08_21_13_17_46.cal</v>
      </c>
      <c r="G569">
        <v>1</v>
      </c>
      <c r="H569" t="str">
        <f>""</f>
        <v/>
      </c>
      <c r="I569" t="str">
        <f>"8/22/2019 4:51:30 PM"</f>
        <v>8/22/2019 4:51:30 PM</v>
      </c>
      <c r="J569" t="str">
        <f>"1"</f>
        <v>1</v>
      </c>
      <c r="K569" t="str">
        <f>"3"</f>
        <v>3</v>
      </c>
      <c r="L569" t="str">
        <f>"NPOC"</f>
        <v>NPOC</v>
      </c>
      <c r="M569" t="str">
        <f>"57.04"</f>
        <v>57.04</v>
      </c>
      <c r="N569" t="str">
        <f>"11.34"</f>
        <v>11.34</v>
      </c>
      <c r="O569" t="str">
        <f>"NPOC:11.27mg/L TN:0.7116mg/L"</f>
        <v>NPOC:11.27mg/L TN:0.7116mg/L</v>
      </c>
      <c r="P569">
        <v>0</v>
      </c>
      <c r="Q569" t="str">
        <f>"80"</f>
        <v>80</v>
      </c>
    </row>
    <row r="570" spans="1:17" x14ac:dyDescent="0.2">
      <c r="A570" t="str">
        <f>"Unknown"</f>
        <v>Unknown</v>
      </c>
      <c r="B570" t="str">
        <f>"NPOC/TN"</f>
        <v>NPOC/TN</v>
      </c>
      <c r="C570" t="str">
        <f>"1137"</f>
        <v>1137</v>
      </c>
      <c r="D570" t="str">
        <f>"DI"</f>
        <v>DI</v>
      </c>
      <c r="E570" t="str">
        <f>"C:\TOC3201\Methods\Itamar\acid_sample.met"</f>
        <v>C:\TOC3201\Methods\Itamar\acid_sample.met</v>
      </c>
      <c r="F570" t="str">
        <f>"C:\TOC3201\CalCurves\Itamar\C_cal_100ppm_acid_laurel.2019_08_21_13_17_46.cal"</f>
        <v>C:\TOC3201\CalCurves\Itamar\C_cal_100ppm_acid_laurel.2019_08_21_13_17_46.cal</v>
      </c>
      <c r="G570">
        <v>1</v>
      </c>
      <c r="H570" t="str">
        <f>""</f>
        <v/>
      </c>
      <c r="I570" t="str">
        <f>"8/22/2019 4:55:10 PM"</f>
        <v>8/22/2019 4:55:10 PM</v>
      </c>
      <c r="J570" t="str">
        <f>"1"</f>
        <v>1</v>
      </c>
      <c r="K570" t="str">
        <f>"4"</f>
        <v>4</v>
      </c>
      <c r="L570" t="str">
        <f>"NPOC"</f>
        <v>NPOC</v>
      </c>
      <c r="M570" t="str">
        <f>"57.53"</f>
        <v>57.53</v>
      </c>
      <c r="N570" t="str">
        <f>"11.44"</f>
        <v>11.44</v>
      </c>
      <c r="O570" t="str">
        <f>"NPOC:11.27mg/L TN:0.7116mg/L"</f>
        <v>NPOC:11.27mg/L TN:0.7116mg/L</v>
      </c>
      <c r="P570">
        <v>0</v>
      </c>
      <c r="Q570" t="str">
        <f>"80"</f>
        <v>80</v>
      </c>
    </row>
    <row r="571" spans="1:17" x14ac:dyDescent="0.2">
      <c r="A571" t="str">
        <f>"Unknown"</f>
        <v>Unknown</v>
      </c>
      <c r="B571" t="str">
        <f>"NPOC/TN"</f>
        <v>NPOC/TN</v>
      </c>
      <c r="C571" t="str">
        <f>"1137"</f>
        <v>1137</v>
      </c>
      <c r="D571" t="str">
        <f>"DI"</f>
        <v>DI</v>
      </c>
      <c r="E571" t="str">
        <f>"C:\TOC3201\Methods\Itamar\acid_sample.met"</f>
        <v>C:\TOC3201\Methods\Itamar\acid_sample.met</v>
      </c>
      <c r="F571" t="str">
        <f>"C:\TOC3201\CalCurves\Itamar\N_cal_25ppm_acid_laurel.2019_08_21_15_23_49.cal"</f>
        <v>C:\TOC3201\CalCurves\Itamar\N_cal_25ppm_acid_laurel.2019_08_21_15_23_49.cal</v>
      </c>
      <c r="G571">
        <v>1</v>
      </c>
      <c r="H571" t="str">
        <f>""</f>
        <v/>
      </c>
      <c r="I571" t="str">
        <f>"8/22/2019 4:44:07 PM"</f>
        <v>8/22/2019 4:44:07 PM</v>
      </c>
      <c r="J571" t="str">
        <f>"1"</f>
        <v>1</v>
      </c>
      <c r="K571" t="str">
        <f>"1"</f>
        <v>1</v>
      </c>
      <c r="L571" t="str">
        <f>"TN"</f>
        <v>TN</v>
      </c>
      <c r="M571" t="str">
        <f>"2.057"</f>
        <v>2.057</v>
      </c>
      <c r="N571" t="str">
        <f>"0.7186"</f>
        <v>0.7186</v>
      </c>
      <c r="O571" t="str">
        <f>"NPOC:11.27mg/L TN:0.7116mg/L"</f>
        <v>NPOC:11.27mg/L TN:0.7116mg/L</v>
      </c>
      <c r="P571">
        <v>0</v>
      </c>
      <c r="Q571" t="str">
        <f>"80"</f>
        <v>80</v>
      </c>
    </row>
    <row r="572" spans="1:17" x14ac:dyDescent="0.2">
      <c r="A572" t="str">
        <f>"Unknown"</f>
        <v>Unknown</v>
      </c>
      <c r="B572" t="str">
        <f>"NPOC/TN"</f>
        <v>NPOC/TN</v>
      </c>
      <c r="C572" t="str">
        <f>"1137"</f>
        <v>1137</v>
      </c>
      <c r="D572" t="str">
        <f>"DI"</f>
        <v>DI</v>
      </c>
      <c r="E572" t="str">
        <f>"C:\TOC3201\Methods\Itamar\acid_sample.met"</f>
        <v>C:\TOC3201\Methods\Itamar\acid_sample.met</v>
      </c>
      <c r="F572" t="str">
        <f>"C:\TOC3201\CalCurves\Itamar\N_cal_25ppm_acid_laurel.2019_08_21_15_23_49.cal"</f>
        <v>C:\TOC3201\CalCurves\Itamar\N_cal_25ppm_acid_laurel.2019_08_21_15_23_49.cal</v>
      </c>
      <c r="G572">
        <v>1</v>
      </c>
      <c r="H572" t="str">
        <f>""</f>
        <v/>
      </c>
      <c r="I572" t="str">
        <f>"8/22/2019 4:47:51 PM"</f>
        <v>8/22/2019 4:47:51 PM</v>
      </c>
      <c r="J572" t="str">
        <f>"1"</f>
        <v>1</v>
      </c>
      <c r="K572" t="str">
        <f>"2"</f>
        <v>2</v>
      </c>
      <c r="L572" t="str">
        <f>"TN"</f>
        <v>TN</v>
      </c>
      <c r="M572" t="str">
        <f>"2.042"</f>
        <v>2.042</v>
      </c>
      <c r="N572" t="str">
        <f>"0.7144"</f>
        <v>0.7144</v>
      </c>
      <c r="O572" t="str">
        <f>"NPOC:11.27mg/L TN:0.7116mg/L"</f>
        <v>NPOC:11.27mg/L TN:0.7116mg/L</v>
      </c>
      <c r="P572">
        <v>0</v>
      </c>
      <c r="Q572" t="str">
        <f>"80"</f>
        <v>80</v>
      </c>
    </row>
    <row r="573" spans="1:17" x14ac:dyDescent="0.2">
      <c r="A573" t="str">
        <f>"Unknown"</f>
        <v>Unknown</v>
      </c>
      <c r="B573" t="str">
        <f>"NPOC/TN"</f>
        <v>NPOC/TN</v>
      </c>
      <c r="C573" t="str">
        <f>"1137"</f>
        <v>1137</v>
      </c>
      <c r="D573" t="str">
        <f>"DI"</f>
        <v>DI</v>
      </c>
      <c r="E573" t="str">
        <f>"C:\TOC3201\Methods\Itamar\acid_sample.met"</f>
        <v>C:\TOC3201\Methods\Itamar\acid_sample.met</v>
      </c>
      <c r="F573" t="str">
        <f>"C:\TOC3201\CalCurves\Itamar\N_cal_25ppm_acid_laurel.2019_08_21_15_23_49.cal"</f>
        <v>C:\TOC3201\CalCurves\Itamar\N_cal_25ppm_acid_laurel.2019_08_21_15_23_49.cal</v>
      </c>
      <c r="G573">
        <v>1</v>
      </c>
      <c r="H573" t="str">
        <f>""</f>
        <v/>
      </c>
      <c r="I573" t="str">
        <f>"8/22/2019 4:51:30 PM"</f>
        <v>8/22/2019 4:51:30 PM</v>
      </c>
      <c r="J573" t="str">
        <f>"1"</f>
        <v>1</v>
      </c>
      <c r="K573" t="str">
        <f>"3"</f>
        <v>3</v>
      </c>
      <c r="L573" t="str">
        <f>"TN"</f>
        <v>TN</v>
      </c>
      <c r="M573" t="str">
        <f>"1.996"</f>
        <v>1.996</v>
      </c>
      <c r="N573" t="str">
        <f>"0.7018"</f>
        <v>0.7018</v>
      </c>
      <c r="O573" t="str">
        <f>"NPOC:11.27mg/L TN:0.7116mg/L"</f>
        <v>NPOC:11.27mg/L TN:0.7116mg/L</v>
      </c>
      <c r="P573">
        <v>0</v>
      </c>
      <c r="Q573" t="str">
        <f>"80"</f>
        <v>80</v>
      </c>
    </row>
    <row r="574" spans="1:17" x14ac:dyDescent="0.2">
      <c r="A574" t="str">
        <f>"Unknown"</f>
        <v>Unknown</v>
      </c>
      <c r="B574" t="str">
        <f>"NPOC/TN"</f>
        <v>NPOC/TN</v>
      </c>
      <c r="C574" t="str">
        <f>"1139"</f>
        <v>1139</v>
      </c>
      <c r="D574" t="str">
        <f>"DI"</f>
        <v>DI</v>
      </c>
      <c r="E574" t="str">
        <f>"C:\TOC3201\Methods\Itamar\acid_sample.met"</f>
        <v>C:\TOC3201\Methods\Itamar\acid_sample.met</v>
      </c>
      <c r="F574" t="str">
        <f>"C:\TOC3201\CalCurves\Itamar\C_cal_100ppm_acid_laurel.2019_08_21_13_17_46.cal"</f>
        <v>C:\TOC3201\CalCurves\Itamar\C_cal_100ppm_acid_laurel.2019_08_21_13_17_46.cal</v>
      </c>
      <c r="G574">
        <v>1</v>
      </c>
      <c r="H574" t="str">
        <f>""</f>
        <v/>
      </c>
      <c r="I574" t="str">
        <f>"8/22/2019 5:05:21 PM"</f>
        <v>8/22/2019 5:05:21 PM</v>
      </c>
      <c r="J574" t="str">
        <f>"1"</f>
        <v>1</v>
      </c>
      <c r="K574" t="str">
        <f>"1"</f>
        <v>1</v>
      </c>
      <c r="L574" t="str">
        <f>"NPOC"</f>
        <v>NPOC</v>
      </c>
      <c r="M574" t="str">
        <f>"56.64"</f>
        <v>56.64</v>
      </c>
      <c r="N574" t="str">
        <f>"11.26"</f>
        <v>11.26</v>
      </c>
      <c r="O574" t="str">
        <f>"NPOC:11.08mg/L TN:0.6518mg/L"</f>
        <v>NPOC:11.08mg/L TN:0.6518mg/L</v>
      </c>
      <c r="P574">
        <v>0</v>
      </c>
      <c r="Q574" t="str">
        <f>"80"</f>
        <v>80</v>
      </c>
    </row>
    <row r="575" spans="1:17" x14ac:dyDescent="0.2">
      <c r="A575" t="str">
        <f>"Unknown"</f>
        <v>Unknown</v>
      </c>
      <c r="B575" t="str">
        <f>"NPOC/TN"</f>
        <v>NPOC/TN</v>
      </c>
      <c r="C575" t="str">
        <f>"1139"</f>
        <v>1139</v>
      </c>
      <c r="D575" t="str">
        <f>"DI"</f>
        <v>DI</v>
      </c>
      <c r="E575" t="str">
        <f>"C:\TOC3201\Methods\Itamar\acid_sample.met"</f>
        <v>C:\TOC3201\Methods\Itamar\acid_sample.met</v>
      </c>
      <c r="F575" t="str">
        <f>"C:\TOC3201\CalCurves\Itamar\C_cal_100ppm_acid_laurel.2019_08_21_13_17_46.cal"</f>
        <v>C:\TOC3201\CalCurves\Itamar\C_cal_100ppm_acid_laurel.2019_08_21_13_17_46.cal</v>
      </c>
      <c r="G575">
        <v>1</v>
      </c>
      <c r="H575" t="str">
        <f>""</f>
        <v/>
      </c>
      <c r="I575" t="str">
        <f>"8/22/2019 5:09:03 PM"</f>
        <v>8/22/2019 5:09:03 PM</v>
      </c>
      <c r="J575" t="str">
        <f>"1"</f>
        <v>1</v>
      </c>
      <c r="K575" t="str">
        <f>"2"</f>
        <v>2</v>
      </c>
      <c r="L575" t="str">
        <f>"NPOC"</f>
        <v>NPOC</v>
      </c>
      <c r="M575" t="str">
        <f>"55.93"</f>
        <v>55.93</v>
      </c>
      <c r="N575" t="str">
        <f>"11.11"</f>
        <v>11.11</v>
      </c>
      <c r="O575" t="str">
        <f>"NPOC:11.08mg/L TN:0.6518mg/L"</f>
        <v>NPOC:11.08mg/L TN:0.6518mg/L</v>
      </c>
      <c r="P575">
        <v>0</v>
      </c>
      <c r="Q575" t="str">
        <f>"80"</f>
        <v>80</v>
      </c>
    </row>
    <row r="576" spans="1:17" x14ac:dyDescent="0.2">
      <c r="A576" t="str">
        <f>"Unknown"</f>
        <v>Unknown</v>
      </c>
      <c r="B576" t="str">
        <f>"NPOC/TN"</f>
        <v>NPOC/TN</v>
      </c>
      <c r="C576" t="str">
        <f>"1139"</f>
        <v>1139</v>
      </c>
      <c r="D576" t="str">
        <f>"DI"</f>
        <v>DI</v>
      </c>
      <c r="E576" t="str">
        <f>"C:\TOC3201\Methods\Itamar\acid_sample.met"</f>
        <v>C:\TOC3201\Methods\Itamar\acid_sample.met</v>
      </c>
      <c r="F576" t="str">
        <f>"C:\TOC3201\CalCurves\Itamar\C_cal_100ppm_acid_laurel.2019_08_21_13_17_46.cal"</f>
        <v>C:\TOC3201\CalCurves\Itamar\C_cal_100ppm_acid_laurel.2019_08_21_13_17_46.cal</v>
      </c>
      <c r="G576">
        <v>1</v>
      </c>
      <c r="H576" t="str">
        <f>""</f>
        <v/>
      </c>
      <c r="I576" t="str">
        <f>"8/22/2019 5:12:43 PM"</f>
        <v>8/22/2019 5:12:43 PM</v>
      </c>
      <c r="J576" t="str">
        <f>"1"</f>
        <v>1</v>
      </c>
      <c r="K576" t="str">
        <f>"3"</f>
        <v>3</v>
      </c>
      <c r="L576" t="str">
        <f>"NPOC"</f>
        <v>NPOC</v>
      </c>
      <c r="M576" t="str">
        <f>"58.95"</f>
        <v>58.95</v>
      </c>
      <c r="N576" t="str">
        <f>"11.73"</f>
        <v>11.73</v>
      </c>
      <c r="O576" t="str">
        <f>"NPOC:11.08mg/L TN:0.6518mg/L"</f>
        <v>NPOC:11.08mg/L TN:0.6518mg/L</v>
      </c>
      <c r="P576">
        <v>1</v>
      </c>
      <c r="Q576" t="str">
        <f>"80"</f>
        <v>80</v>
      </c>
    </row>
    <row r="577" spans="1:17" x14ac:dyDescent="0.2">
      <c r="A577" t="str">
        <f>"Unknown"</f>
        <v>Unknown</v>
      </c>
      <c r="B577" t="str">
        <f>"NPOC/TN"</f>
        <v>NPOC/TN</v>
      </c>
      <c r="C577" t="str">
        <f>"1139"</f>
        <v>1139</v>
      </c>
      <c r="D577" t="str">
        <f>"DI"</f>
        <v>DI</v>
      </c>
      <c r="E577" t="str">
        <f>"C:\TOC3201\Methods\Itamar\acid_sample.met"</f>
        <v>C:\TOC3201\Methods\Itamar\acid_sample.met</v>
      </c>
      <c r="F577" t="str">
        <f>"C:\TOC3201\CalCurves\Itamar\C_cal_100ppm_acid_laurel.2019_08_21_13_17_46.cal"</f>
        <v>C:\TOC3201\CalCurves\Itamar\C_cal_100ppm_acid_laurel.2019_08_21_13_17_46.cal</v>
      </c>
      <c r="G577">
        <v>1</v>
      </c>
      <c r="H577" t="str">
        <f>""</f>
        <v/>
      </c>
      <c r="I577" t="str">
        <f>"8/22/2019 5:16:23 PM"</f>
        <v>8/22/2019 5:16:23 PM</v>
      </c>
      <c r="J577" t="str">
        <f>"1"</f>
        <v>1</v>
      </c>
      <c r="K577" t="str">
        <f>"4"</f>
        <v>4</v>
      </c>
      <c r="L577" t="str">
        <f>"NPOC"</f>
        <v>NPOC</v>
      </c>
      <c r="M577" t="str">
        <f>"58.66"</f>
        <v>58.66</v>
      </c>
      <c r="N577" t="str">
        <f>"11.67"</f>
        <v>11.67</v>
      </c>
      <c r="O577" t="str">
        <f>"NPOC:11.08mg/L TN:0.6518mg/L"</f>
        <v>NPOC:11.08mg/L TN:0.6518mg/L</v>
      </c>
      <c r="P577">
        <v>1</v>
      </c>
      <c r="Q577" t="str">
        <f>"80"</f>
        <v>80</v>
      </c>
    </row>
    <row r="578" spans="1:17" x14ac:dyDescent="0.2">
      <c r="A578" t="str">
        <f>"Unknown"</f>
        <v>Unknown</v>
      </c>
      <c r="B578" t="str">
        <f>"NPOC/TN"</f>
        <v>NPOC/TN</v>
      </c>
      <c r="C578" t="str">
        <f>"1139"</f>
        <v>1139</v>
      </c>
      <c r="D578" t="str">
        <f>"DI"</f>
        <v>DI</v>
      </c>
      <c r="E578" t="str">
        <f>"C:\TOC3201\Methods\Itamar\acid_sample.met"</f>
        <v>C:\TOC3201\Methods\Itamar\acid_sample.met</v>
      </c>
      <c r="F578" t="str">
        <f>"C:\TOC3201\CalCurves\Itamar\C_cal_100ppm_acid_laurel.2019_08_21_13_17_46.cal"</f>
        <v>C:\TOC3201\CalCurves\Itamar\C_cal_100ppm_acid_laurel.2019_08_21_13_17_46.cal</v>
      </c>
      <c r="G578">
        <v>1</v>
      </c>
      <c r="H578" t="str">
        <f>""</f>
        <v/>
      </c>
      <c r="I578" t="str">
        <f>"8/22/2019 5:20:04 PM"</f>
        <v>8/22/2019 5:20:04 PM</v>
      </c>
      <c r="J578" t="str">
        <f>"1"</f>
        <v>1</v>
      </c>
      <c r="K578" t="str">
        <f>"5"</f>
        <v>5</v>
      </c>
      <c r="L578" t="str">
        <f>"NPOC"</f>
        <v>NPOC</v>
      </c>
      <c r="M578" t="str">
        <f>"54.82"</f>
        <v>54.82</v>
      </c>
      <c r="N578" t="str">
        <f>"10.88"</f>
        <v>10.88</v>
      </c>
      <c r="O578" t="str">
        <f>"NPOC:11.08mg/L TN:0.6518mg/L"</f>
        <v>NPOC:11.08mg/L TN:0.6518mg/L</v>
      </c>
      <c r="P578">
        <v>0</v>
      </c>
      <c r="Q578" t="str">
        <f>"80"</f>
        <v>80</v>
      </c>
    </row>
    <row r="579" spans="1:17" x14ac:dyDescent="0.2">
      <c r="A579" t="str">
        <f>"Unknown"</f>
        <v>Unknown</v>
      </c>
      <c r="B579" t="str">
        <f>"NPOC/TN"</f>
        <v>NPOC/TN</v>
      </c>
      <c r="C579" t="str">
        <f>"1139"</f>
        <v>1139</v>
      </c>
      <c r="D579" t="str">
        <f>"DI"</f>
        <v>DI</v>
      </c>
      <c r="E579" t="str">
        <f>"C:\TOC3201\Methods\Itamar\acid_sample.met"</f>
        <v>C:\TOC3201\Methods\Itamar\acid_sample.met</v>
      </c>
      <c r="F579" t="str">
        <f>"C:\TOC3201\CalCurves\Itamar\N_cal_25ppm_acid_laurel.2019_08_21_15_23_49.cal"</f>
        <v>C:\TOC3201\CalCurves\Itamar\N_cal_25ppm_acid_laurel.2019_08_21_15_23_49.cal</v>
      </c>
      <c r="G579">
        <v>1</v>
      </c>
      <c r="H579" t="str">
        <f>""</f>
        <v/>
      </c>
      <c r="I579" t="str">
        <f>"8/22/2019 5:05:21 PM"</f>
        <v>8/22/2019 5:05:21 PM</v>
      </c>
      <c r="J579" t="str">
        <f>"1"</f>
        <v>1</v>
      </c>
      <c r="K579" t="str">
        <f>"1"</f>
        <v>1</v>
      </c>
      <c r="L579" t="str">
        <f>"TN"</f>
        <v>TN</v>
      </c>
      <c r="M579" t="str">
        <f>"2.234"</f>
        <v>2.234</v>
      </c>
      <c r="N579" t="str">
        <f>"0.7671"</f>
        <v>0.7671</v>
      </c>
      <c r="O579" t="str">
        <f>"NPOC:11.08mg/L TN:0.6518mg/L"</f>
        <v>NPOC:11.08mg/L TN:0.6518mg/L</v>
      </c>
      <c r="P579">
        <v>1</v>
      </c>
      <c r="Q579" t="str">
        <f>"80"</f>
        <v>80</v>
      </c>
    </row>
    <row r="580" spans="1:17" x14ac:dyDescent="0.2">
      <c r="A580" t="str">
        <f>"Unknown"</f>
        <v>Unknown</v>
      </c>
      <c r="B580" t="str">
        <f>"NPOC/TN"</f>
        <v>NPOC/TN</v>
      </c>
      <c r="C580" t="str">
        <f>"1139"</f>
        <v>1139</v>
      </c>
      <c r="D580" t="str">
        <f>"DI"</f>
        <v>DI</v>
      </c>
      <c r="E580" t="str">
        <f>"C:\TOC3201\Methods\Itamar\acid_sample.met"</f>
        <v>C:\TOC3201\Methods\Itamar\acid_sample.met</v>
      </c>
      <c r="F580" t="str">
        <f>"C:\TOC3201\CalCurves\Itamar\N_cal_25ppm_acid_laurel.2019_08_21_15_23_49.cal"</f>
        <v>C:\TOC3201\CalCurves\Itamar\N_cal_25ppm_acid_laurel.2019_08_21_15_23_49.cal</v>
      </c>
      <c r="G580">
        <v>1</v>
      </c>
      <c r="H580" t="str">
        <f>""</f>
        <v/>
      </c>
      <c r="I580" t="str">
        <f>"8/22/2019 5:09:03 PM"</f>
        <v>8/22/2019 5:09:03 PM</v>
      </c>
      <c r="J580" t="str">
        <f>"1"</f>
        <v>1</v>
      </c>
      <c r="K580" t="str">
        <f>"2"</f>
        <v>2</v>
      </c>
      <c r="L580" t="str">
        <f>"TN"</f>
        <v>TN</v>
      </c>
      <c r="M580" t="str">
        <f>"1.747"</f>
        <v>1.747</v>
      </c>
      <c r="N580" t="str">
        <f>"0.6335"</f>
        <v>0.6335</v>
      </c>
      <c r="O580" t="str">
        <f>"NPOC:11.08mg/L TN:0.6518mg/L"</f>
        <v>NPOC:11.08mg/L TN:0.6518mg/L</v>
      </c>
      <c r="P580">
        <v>0</v>
      </c>
      <c r="Q580" t="str">
        <f>"80"</f>
        <v>80</v>
      </c>
    </row>
    <row r="581" spans="1:17" x14ac:dyDescent="0.2">
      <c r="A581" t="str">
        <f>"Unknown"</f>
        <v>Unknown</v>
      </c>
      <c r="B581" t="str">
        <f>"NPOC/TN"</f>
        <v>NPOC/TN</v>
      </c>
      <c r="C581" t="str">
        <f>"1139"</f>
        <v>1139</v>
      </c>
      <c r="D581" t="str">
        <f>"DI"</f>
        <v>DI</v>
      </c>
      <c r="E581" t="str">
        <f>"C:\TOC3201\Methods\Itamar\acid_sample.met"</f>
        <v>C:\TOC3201\Methods\Itamar\acid_sample.met</v>
      </c>
      <c r="F581" t="str">
        <f>"C:\TOC3201\CalCurves\Itamar\N_cal_25ppm_acid_laurel.2019_08_21_15_23_49.cal"</f>
        <v>C:\TOC3201\CalCurves\Itamar\N_cal_25ppm_acid_laurel.2019_08_21_15_23_49.cal</v>
      </c>
      <c r="G581">
        <v>1</v>
      </c>
      <c r="H581" t="str">
        <f>""</f>
        <v/>
      </c>
      <c r="I581" t="str">
        <f>"8/22/2019 5:12:43 PM"</f>
        <v>8/22/2019 5:12:43 PM</v>
      </c>
      <c r="J581" t="str">
        <f>"1"</f>
        <v>1</v>
      </c>
      <c r="K581" t="str">
        <f>"3"</f>
        <v>3</v>
      </c>
      <c r="L581" t="str">
        <f>"TN"</f>
        <v>TN</v>
      </c>
      <c r="M581" t="str">
        <f>"2.306"</f>
        <v>2.306</v>
      </c>
      <c r="N581" t="str">
        <f>"0.7869"</f>
        <v>0.7869</v>
      </c>
      <c r="O581" t="str">
        <f>"NPOC:11.08mg/L TN:0.6518mg/L"</f>
        <v>NPOC:11.08mg/L TN:0.6518mg/L</v>
      </c>
      <c r="P581">
        <v>1</v>
      </c>
      <c r="Q581" t="str">
        <f>"80"</f>
        <v>80</v>
      </c>
    </row>
    <row r="582" spans="1:17" x14ac:dyDescent="0.2">
      <c r="A582" t="str">
        <f>"Unknown"</f>
        <v>Unknown</v>
      </c>
      <c r="B582" t="str">
        <f>"NPOC/TN"</f>
        <v>NPOC/TN</v>
      </c>
      <c r="C582" t="str">
        <f>"1139"</f>
        <v>1139</v>
      </c>
      <c r="D582" t="str">
        <f>"DI"</f>
        <v>DI</v>
      </c>
      <c r="E582" t="str">
        <f>"C:\TOC3201\Methods\Itamar\acid_sample.met"</f>
        <v>C:\TOC3201\Methods\Itamar\acid_sample.met</v>
      </c>
      <c r="F582" t="str">
        <f>"C:\TOC3201\CalCurves\Itamar\N_cal_25ppm_acid_laurel.2019_08_21_15_23_49.cal"</f>
        <v>C:\TOC3201\CalCurves\Itamar\N_cal_25ppm_acid_laurel.2019_08_21_15_23_49.cal</v>
      </c>
      <c r="G582">
        <v>1</v>
      </c>
      <c r="H582" t="str">
        <f>""</f>
        <v/>
      </c>
      <c r="I582" t="str">
        <f>"8/22/2019 5:16:23 PM"</f>
        <v>8/22/2019 5:16:23 PM</v>
      </c>
      <c r="J582" t="str">
        <f>"1"</f>
        <v>1</v>
      </c>
      <c r="K582" t="str">
        <f>"4"</f>
        <v>4</v>
      </c>
      <c r="L582" t="str">
        <f>"TN"</f>
        <v>TN</v>
      </c>
      <c r="M582" t="str">
        <f>"1.962"</f>
        <v>1.962</v>
      </c>
      <c r="N582" t="str">
        <f>"0.6925"</f>
        <v>0.6925</v>
      </c>
      <c r="O582" t="str">
        <f>"NPOC:11.08mg/L TN:0.6518mg/L"</f>
        <v>NPOC:11.08mg/L TN:0.6518mg/L</v>
      </c>
      <c r="P582">
        <v>0</v>
      </c>
      <c r="Q582" t="str">
        <f>"80"</f>
        <v>80</v>
      </c>
    </row>
    <row r="583" spans="1:17" x14ac:dyDescent="0.2">
      <c r="A583" t="str">
        <f>"Unknown"</f>
        <v>Unknown</v>
      </c>
      <c r="B583" t="str">
        <f>"NPOC/TN"</f>
        <v>NPOC/TN</v>
      </c>
      <c r="C583" t="str">
        <f>"1139"</f>
        <v>1139</v>
      </c>
      <c r="D583" t="str">
        <f>"DI"</f>
        <v>DI</v>
      </c>
      <c r="E583" t="str">
        <f>"C:\TOC3201\Methods\Itamar\acid_sample.met"</f>
        <v>C:\TOC3201\Methods\Itamar\acid_sample.met</v>
      </c>
      <c r="F583" t="str">
        <f>"C:\TOC3201\CalCurves\Itamar\N_cal_25ppm_acid_laurel.2019_08_21_15_23_49.cal"</f>
        <v>C:\TOC3201\CalCurves\Itamar\N_cal_25ppm_acid_laurel.2019_08_21_15_23_49.cal</v>
      </c>
      <c r="G583">
        <v>1</v>
      </c>
      <c r="H583" t="str">
        <f>""</f>
        <v/>
      </c>
      <c r="I583" t="str">
        <f>"8/22/2019 5:20:04 PM"</f>
        <v>8/22/2019 5:20:04 PM</v>
      </c>
      <c r="J583" t="str">
        <f>"1"</f>
        <v>1</v>
      </c>
      <c r="K583" t="str">
        <f>"5"</f>
        <v>5</v>
      </c>
      <c r="L583" t="str">
        <f>"TN"</f>
        <v>TN</v>
      </c>
      <c r="M583" t="str">
        <f>"1.732"</f>
        <v>1.732</v>
      </c>
      <c r="N583" t="str">
        <f>"0.6294"</f>
        <v>0.6294</v>
      </c>
      <c r="O583" t="str">
        <f>"NPOC:11.08mg/L TN:0.6518mg/L"</f>
        <v>NPOC:11.08mg/L TN:0.6518mg/L</v>
      </c>
      <c r="P583">
        <v>0</v>
      </c>
      <c r="Q583" t="str">
        <f>"80"</f>
        <v>80</v>
      </c>
    </row>
    <row r="584" spans="1:17" x14ac:dyDescent="0.2">
      <c r="A584" t="str">
        <f>"Unknown"</f>
        <v>Unknown</v>
      </c>
      <c r="B584" t="str">
        <f>"NPOC/TN"</f>
        <v>NPOC/TN</v>
      </c>
      <c r="C584" t="str">
        <f>"1141"</f>
        <v>1141</v>
      </c>
      <c r="D584" t="str">
        <f>"DI"</f>
        <v>DI</v>
      </c>
      <c r="E584" t="str">
        <f>"C:\TOC3201\Methods\Itamar\acid_sample.met"</f>
        <v>C:\TOC3201\Methods\Itamar\acid_sample.met</v>
      </c>
      <c r="F584" t="str">
        <f>"C:\TOC3201\CalCurves\Itamar\C_cal_100ppm_acid_laurel.2019_08_21_13_17_46.cal"</f>
        <v>C:\TOC3201\CalCurves\Itamar\C_cal_100ppm_acid_laurel.2019_08_21_13_17_46.cal</v>
      </c>
      <c r="G584">
        <v>1</v>
      </c>
      <c r="H584" t="str">
        <f>""</f>
        <v/>
      </c>
      <c r="I584" t="str">
        <f>"8/22/2019 5:29:55 PM"</f>
        <v>8/22/2019 5:29:55 PM</v>
      </c>
      <c r="J584" t="str">
        <f>"1"</f>
        <v>1</v>
      </c>
      <c r="K584" t="str">
        <f>"1"</f>
        <v>1</v>
      </c>
      <c r="L584" t="str">
        <f>"NPOC"</f>
        <v>NPOC</v>
      </c>
      <c r="M584" t="str">
        <f>"30.65"</f>
        <v>30.65</v>
      </c>
      <c r="N584" t="str">
        <f>"5.942"</f>
        <v>5.942</v>
      </c>
      <c r="O584" t="str">
        <f>"NPOC:5.846mg/L TN:0.5915mg/L"</f>
        <v>NPOC:5.846mg/L TN:0.5915mg/L</v>
      </c>
      <c r="P584">
        <v>0</v>
      </c>
      <c r="Q584" t="str">
        <f>"80"</f>
        <v>80</v>
      </c>
    </row>
    <row r="585" spans="1:17" x14ac:dyDescent="0.2">
      <c r="A585" t="str">
        <f>"Unknown"</f>
        <v>Unknown</v>
      </c>
      <c r="B585" t="str">
        <f>"NPOC/TN"</f>
        <v>NPOC/TN</v>
      </c>
      <c r="C585" t="str">
        <f>"1141"</f>
        <v>1141</v>
      </c>
      <c r="D585" t="str">
        <f>"DI"</f>
        <v>DI</v>
      </c>
      <c r="E585" t="str">
        <f>"C:\TOC3201\Methods\Itamar\acid_sample.met"</f>
        <v>C:\TOC3201\Methods\Itamar\acid_sample.met</v>
      </c>
      <c r="F585" t="str">
        <f>"C:\TOC3201\CalCurves\Itamar\C_cal_100ppm_acid_laurel.2019_08_21_13_17_46.cal"</f>
        <v>C:\TOC3201\CalCurves\Itamar\C_cal_100ppm_acid_laurel.2019_08_21_13_17_46.cal</v>
      </c>
      <c r="G585">
        <v>1</v>
      </c>
      <c r="H585" t="str">
        <f>""</f>
        <v/>
      </c>
      <c r="I585" t="str">
        <f>"8/22/2019 5:33:21 PM"</f>
        <v>8/22/2019 5:33:21 PM</v>
      </c>
      <c r="J585" t="str">
        <f>"1"</f>
        <v>1</v>
      </c>
      <c r="K585" t="str">
        <f>"2"</f>
        <v>2</v>
      </c>
      <c r="L585" t="str">
        <f>"NPOC"</f>
        <v>NPOC</v>
      </c>
      <c r="M585" t="str">
        <f>"30.04"</f>
        <v>30.04</v>
      </c>
      <c r="N585" t="str">
        <f>"5.817"</f>
        <v>5.817</v>
      </c>
      <c r="O585" t="str">
        <f>"NPOC:5.846mg/L TN:0.5915mg/L"</f>
        <v>NPOC:5.846mg/L TN:0.5915mg/L</v>
      </c>
      <c r="P585">
        <v>0</v>
      </c>
      <c r="Q585" t="str">
        <f>"80"</f>
        <v>80</v>
      </c>
    </row>
    <row r="586" spans="1:17" x14ac:dyDescent="0.2">
      <c r="A586" t="str">
        <f>"Unknown"</f>
        <v>Unknown</v>
      </c>
      <c r="B586" t="str">
        <f>"NPOC/TN"</f>
        <v>NPOC/TN</v>
      </c>
      <c r="C586" t="str">
        <f>"1141"</f>
        <v>1141</v>
      </c>
      <c r="D586" t="str">
        <f>"DI"</f>
        <v>DI</v>
      </c>
      <c r="E586" t="str">
        <f>"C:\TOC3201\Methods\Itamar\acid_sample.met"</f>
        <v>C:\TOC3201\Methods\Itamar\acid_sample.met</v>
      </c>
      <c r="F586" t="str">
        <f>"C:\TOC3201\CalCurves\Itamar\C_cal_100ppm_acid_laurel.2019_08_21_13_17_46.cal"</f>
        <v>C:\TOC3201\CalCurves\Itamar\C_cal_100ppm_acid_laurel.2019_08_21_13_17_46.cal</v>
      </c>
      <c r="G586">
        <v>1</v>
      </c>
      <c r="H586" t="str">
        <f>""</f>
        <v/>
      </c>
      <c r="I586" t="str">
        <f>"8/22/2019 5:36:44 PM"</f>
        <v>8/22/2019 5:36:44 PM</v>
      </c>
      <c r="J586" t="str">
        <f>"1"</f>
        <v>1</v>
      </c>
      <c r="K586" t="str">
        <f>"3"</f>
        <v>3</v>
      </c>
      <c r="L586" t="str">
        <f>"NPOC"</f>
        <v>NPOC</v>
      </c>
      <c r="M586" t="str">
        <f>"32.42"</f>
        <v>32.42</v>
      </c>
      <c r="N586" t="str">
        <f>"6.304"</f>
        <v>6.304</v>
      </c>
      <c r="O586" t="str">
        <f>"NPOC:5.846mg/L TN:0.5915mg/L"</f>
        <v>NPOC:5.846mg/L TN:0.5915mg/L</v>
      </c>
      <c r="P586">
        <v>1</v>
      </c>
      <c r="Q586" t="str">
        <f>"80"</f>
        <v>80</v>
      </c>
    </row>
    <row r="587" spans="1:17" x14ac:dyDescent="0.2">
      <c r="A587" t="str">
        <f>"Unknown"</f>
        <v>Unknown</v>
      </c>
      <c r="B587" t="str">
        <f>"NPOC/TN"</f>
        <v>NPOC/TN</v>
      </c>
      <c r="C587" t="str">
        <f>"1141"</f>
        <v>1141</v>
      </c>
      <c r="D587" t="str">
        <f>"DI"</f>
        <v>DI</v>
      </c>
      <c r="E587" t="str">
        <f>"C:\TOC3201\Methods\Itamar\acid_sample.met"</f>
        <v>C:\TOC3201\Methods\Itamar\acid_sample.met</v>
      </c>
      <c r="F587" t="str">
        <f>"C:\TOC3201\CalCurves\Itamar\C_cal_100ppm_acid_laurel.2019_08_21_13_17_46.cal"</f>
        <v>C:\TOC3201\CalCurves\Itamar\C_cal_100ppm_acid_laurel.2019_08_21_13_17_46.cal</v>
      </c>
      <c r="G587">
        <v>1</v>
      </c>
      <c r="H587" t="str">
        <f>""</f>
        <v/>
      </c>
      <c r="I587" t="str">
        <f>"8/22/2019 5:40:05 PM"</f>
        <v>8/22/2019 5:40:05 PM</v>
      </c>
      <c r="J587" t="str">
        <f>"1"</f>
        <v>1</v>
      </c>
      <c r="K587" t="str">
        <f>"4"</f>
        <v>4</v>
      </c>
      <c r="L587" t="str">
        <f>"NPOC"</f>
        <v>NPOC</v>
      </c>
      <c r="M587" t="str">
        <f>"31.44"</f>
        <v>31.44</v>
      </c>
      <c r="N587" t="str">
        <f>"6.103"</f>
        <v>6.103</v>
      </c>
      <c r="O587" t="str">
        <f>"NPOC:5.846mg/L TN:0.5915mg/L"</f>
        <v>NPOC:5.846mg/L TN:0.5915mg/L</v>
      </c>
      <c r="P587">
        <v>1</v>
      </c>
      <c r="Q587" t="str">
        <f>"80"</f>
        <v>80</v>
      </c>
    </row>
    <row r="588" spans="1:17" x14ac:dyDescent="0.2">
      <c r="A588" t="str">
        <f>"Unknown"</f>
        <v>Unknown</v>
      </c>
      <c r="B588" t="str">
        <f>"NPOC/TN"</f>
        <v>NPOC/TN</v>
      </c>
      <c r="C588" t="str">
        <f>"1141"</f>
        <v>1141</v>
      </c>
      <c r="D588" t="str">
        <f>"DI"</f>
        <v>DI</v>
      </c>
      <c r="E588" t="str">
        <f>"C:\TOC3201\Methods\Itamar\acid_sample.met"</f>
        <v>C:\TOC3201\Methods\Itamar\acid_sample.met</v>
      </c>
      <c r="F588" t="str">
        <f>"C:\TOC3201\CalCurves\Itamar\C_cal_100ppm_acid_laurel.2019_08_21_13_17_46.cal"</f>
        <v>C:\TOC3201\CalCurves\Itamar\C_cal_100ppm_acid_laurel.2019_08_21_13_17_46.cal</v>
      </c>
      <c r="G588">
        <v>1</v>
      </c>
      <c r="H588" t="str">
        <f>""</f>
        <v/>
      </c>
      <c r="I588" t="str">
        <f>"8/22/2019 5:43:32 PM"</f>
        <v>8/22/2019 5:43:32 PM</v>
      </c>
      <c r="J588" t="str">
        <f>"1"</f>
        <v>1</v>
      </c>
      <c r="K588" t="str">
        <f>"5"</f>
        <v>5</v>
      </c>
      <c r="L588" t="str">
        <f>"NPOC"</f>
        <v>NPOC</v>
      </c>
      <c r="M588" t="str">
        <f>"29.85"</f>
        <v>29.85</v>
      </c>
      <c r="N588" t="str">
        <f>"5.778"</f>
        <v>5.778</v>
      </c>
      <c r="O588" t="str">
        <f>"NPOC:5.846mg/L TN:0.5915mg/L"</f>
        <v>NPOC:5.846mg/L TN:0.5915mg/L</v>
      </c>
      <c r="P588">
        <v>0</v>
      </c>
      <c r="Q588" t="str">
        <f>"80"</f>
        <v>80</v>
      </c>
    </row>
    <row r="589" spans="1:17" x14ac:dyDescent="0.2">
      <c r="A589" t="str">
        <f>"Unknown"</f>
        <v>Unknown</v>
      </c>
      <c r="B589" t="str">
        <f>"NPOC/TN"</f>
        <v>NPOC/TN</v>
      </c>
      <c r="C589" t="str">
        <f>"1141"</f>
        <v>1141</v>
      </c>
      <c r="D589" t="str">
        <f>"DI"</f>
        <v>DI</v>
      </c>
      <c r="E589" t="str">
        <f>"C:\TOC3201\Methods\Itamar\acid_sample.met"</f>
        <v>C:\TOC3201\Methods\Itamar\acid_sample.met</v>
      </c>
      <c r="F589" t="str">
        <f>"C:\TOC3201\CalCurves\Itamar\N_cal_25ppm_acid_laurel.2019_08_21_15_23_49.cal"</f>
        <v>C:\TOC3201\CalCurves\Itamar\N_cal_25ppm_acid_laurel.2019_08_21_15_23_49.cal</v>
      </c>
      <c r="G589">
        <v>1</v>
      </c>
      <c r="H589" t="str">
        <f>""</f>
        <v/>
      </c>
      <c r="I589" t="str">
        <f>"8/22/2019 5:29:55 PM"</f>
        <v>8/22/2019 5:29:55 PM</v>
      </c>
      <c r="J589" t="str">
        <f>"1"</f>
        <v>1</v>
      </c>
      <c r="K589" t="str">
        <f>"1"</f>
        <v>1</v>
      </c>
      <c r="L589" t="str">
        <f>"TN"</f>
        <v>TN</v>
      </c>
      <c r="M589" t="str">
        <f>"1.468"</f>
        <v>1.468</v>
      </c>
      <c r="N589" t="str">
        <f>"0.5570"</f>
        <v>0.5570</v>
      </c>
      <c r="O589" t="str">
        <f>"NPOC:5.846mg/L TN:0.5915mg/L"</f>
        <v>NPOC:5.846mg/L TN:0.5915mg/L</v>
      </c>
      <c r="P589">
        <v>0</v>
      </c>
      <c r="Q589" t="str">
        <f>"80"</f>
        <v>80</v>
      </c>
    </row>
    <row r="590" spans="1:17" x14ac:dyDescent="0.2">
      <c r="A590" t="str">
        <f>"Unknown"</f>
        <v>Unknown</v>
      </c>
      <c r="B590" t="str">
        <f>"NPOC/TN"</f>
        <v>NPOC/TN</v>
      </c>
      <c r="C590" t="str">
        <f>"1141"</f>
        <v>1141</v>
      </c>
      <c r="D590" t="str">
        <f>"DI"</f>
        <v>DI</v>
      </c>
      <c r="E590" t="str">
        <f>"C:\TOC3201\Methods\Itamar\acid_sample.met"</f>
        <v>C:\TOC3201\Methods\Itamar\acid_sample.met</v>
      </c>
      <c r="F590" t="str">
        <f>"C:\TOC3201\CalCurves\Itamar\N_cal_25ppm_acid_laurel.2019_08_21_15_23_49.cal"</f>
        <v>C:\TOC3201\CalCurves\Itamar\N_cal_25ppm_acid_laurel.2019_08_21_15_23_49.cal</v>
      </c>
      <c r="G590">
        <v>1</v>
      </c>
      <c r="H590" t="str">
        <f>""</f>
        <v/>
      </c>
      <c r="I590" t="str">
        <f>"8/22/2019 5:33:21 PM"</f>
        <v>8/22/2019 5:33:21 PM</v>
      </c>
      <c r="J590" t="str">
        <f>"1"</f>
        <v>1</v>
      </c>
      <c r="K590" t="str">
        <f>"2"</f>
        <v>2</v>
      </c>
      <c r="L590" t="str">
        <f>"TN"</f>
        <v>TN</v>
      </c>
      <c r="M590" t="str">
        <f>"1.171"</f>
        <v>1.171</v>
      </c>
      <c r="N590" t="str">
        <f>"0.4756"</f>
        <v>0.4756</v>
      </c>
      <c r="O590" t="str">
        <f>"NPOC:5.846mg/L TN:0.5915mg/L"</f>
        <v>NPOC:5.846mg/L TN:0.5915mg/L</v>
      </c>
      <c r="P590">
        <v>1</v>
      </c>
      <c r="Q590" t="str">
        <f>"80"</f>
        <v>80</v>
      </c>
    </row>
    <row r="591" spans="1:17" x14ac:dyDescent="0.2">
      <c r="A591" t="str">
        <f>"Unknown"</f>
        <v>Unknown</v>
      </c>
      <c r="B591" t="str">
        <f>"NPOC/TN"</f>
        <v>NPOC/TN</v>
      </c>
      <c r="C591" t="str">
        <f>"1141"</f>
        <v>1141</v>
      </c>
      <c r="D591" t="str">
        <f>"DI"</f>
        <v>DI</v>
      </c>
      <c r="E591" t="str">
        <f>"C:\TOC3201\Methods\Itamar\acid_sample.met"</f>
        <v>C:\TOC3201\Methods\Itamar\acid_sample.met</v>
      </c>
      <c r="F591" t="str">
        <f>"C:\TOC3201\CalCurves\Itamar\N_cal_25ppm_acid_laurel.2019_08_21_15_23_49.cal"</f>
        <v>C:\TOC3201\CalCurves\Itamar\N_cal_25ppm_acid_laurel.2019_08_21_15_23_49.cal</v>
      </c>
      <c r="G591">
        <v>1</v>
      </c>
      <c r="H591" t="str">
        <f>""</f>
        <v/>
      </c>
      <c r="I591" t="str">
        <f>"8/22/2019 5:36:44 PM"</f>
        <v>8/22/2019 5:36:44 PM</v>
      </c>
      <c r="J591" t="str">
        <f>"1"</f>
        <v>1</v>
      </c>
      <c r="K591" t="str">
        <f>"3"</f>
        <v>3</v>
      </c>
      <c r="L591" t="str">
        <f>"TN"</f>
        <v>TN</v>
      </c>
      <c r="M591" t="str">
        <f>"1.800"</f>
        <v>1.800</v>
      </c>
      <c r="N591" t="str">
        <f>"0.6481"</f>
        <v>0.6481</v>
      </c>
      <c r="O591" t="str">
        <f>"NPOC:5.846mg/L TN:0.5915mg/L"</f>
        <v>NPOC:5.846mg/L TN:0.5915mg/L</v>
      </c>
      <c r="P591">
        <v>0</v>
      </c>
      <c r="Q591" t="str">
        <f>"80"</f>
        <v>80</v>
      </c>
    </row>
    <row r="592" spans="1:17" x14ac:dyDescent="0.2">
      <c r="A592" t="str">
        <f>"Unknown"</f>
        <v>Unknown</v>
      </c>
      <c r="B592" t="str">
        <f>"NPOC/TN"</f>
        <v>NPOC/TN</v>
      </c>
      <c r="C592" t="str">
        <f>"1141"</f>
        <v>1141</v>
      </c>
      <c r="D592" t="str">
        <f>"DI"</f>
        <v>DI</v>
      </c>
      <c r="E592" t="str">
        <f>"C:\TOC3201\Methods\Itamar\acid_sample.met"</f>
        <v>C:\TOC3201\Methods\Itamar\acid_sample.met</v>
      </c>
      <c r="F592" t="str">
        <f>"C:\TOC3201\CalCurves\Itamar\N_cal_25ppm_acid_laurel.2019_08_21_15_23_49.cal"</f>
        <v>C:\TOC3201\CalCurves\Itamar\N_cal_25ppm_acid_laurel.2019_08_21_15_23_49.cal</v>
      </c>
      <c r="G592">
        <v>1</v>
      </c>
      <c r="H592" t="str">
        <f>""</f>
        <v/>
      </c>
      <c r="I592" t="str">
        <f>"8/22/2019 5:40:05 PM"</f>
        <v>8/22/2019 5:40:05 PM</v>
      </c>
      <c r="J592" t="str">
        <f>"1"</f>
        <v>1</v>
      </c>
      <c r="K592" t="str">
        <f>"4"</f>
        <v>4</v>
      </c>
      <c r="L592" t="str">
        <f>"TN"</f>
        <v>TN</v>
      </c>
      <c r="M592" t="str">
        <f>"1.513"</f>
        <v>1.513</v>
      </c>
      <c r="N592" t="str">
        <f>"0.5694"</f>
        <v>0.5694</v>
      </c>
      <c r="O592" t="str">
        <f>"NPOC:5.846mg/L TN:0.5915mg/L"</f>
        <v>NPOC:5.846mg/L TN:0.5915mg/L</v>
      </c>
      <c r="P592">
        <v>0</v>
      </c>
      <c r="Q592" t="str">
        <f>"80"</f>
        <v>80</v>
      </c>
    </row>
    <row r="593" spans="1:17" x14ac:dyDescent="0.2">
      <c r="A593" t="str">
        <f>"Unknown"</f>
        <v>Unknown</v>
      </c>
      <c r="B593" t="str">
        <f>"NPOC/TN"</f>
        <v>NPOC/TN</v>
      </c>
      <c r="C593" t="str">
        <f>"1141"</f>
        <v>1141</v>
      </c>
      <c r="D593" t="str">
        <f>"DI"</f>
        <v>DI</v>
      </c>
      <c r="E593" t="str">
        <f>"C:\TOC3201\Methods\Itamar\acid_sample.met"</f>
        <v>C:\TOC3201\Methods\Itamar\acid_sample.met</v>
      </c>
      <c r="F593" t="str">
        <f>"C:\TOC3201\CalCurves\Itamar\N_cal_25ppm_acid_laurel.2019_08_21_15_23_49.cal"</f>
        <v>C:\TOC3201\CalCurves\Itamar\N_cal_25ppm_acid_laurel.2019_08_21_15_23_49.cal</v>
      </c>
      <c r="G593">
        <v>1</v>
      </c>
      <c r="H593" t="str">
        <f>""</f>
        <v/>
      </c>
      <c r="I593" t="str">
        <f>"8/22/2019 5:43:32 PM"</f>
        <v>8/22/2019 5:43:32 PM</v>
      </c>
      <c r="J593" t="str">
        <f>"1"</f>
        <v>1</v>
      </c>
      <c r="K593" t="str">
        <f>"5"</f>
        <v>5</v>
      </c>
      <c r="L593" t="str">
        <f>"TN"</f>
        <v>TN</v>
      </c>
      <c r="M593" t="str">
        <f>"1.108"</f>
        <v>1.108</v>
      </c>
      <c r="N593" t="str">
        <f>"0.4583"</f>
        <v>0.4583</v>
      </c>
      <c r="O593" t="str">
        <f>"NPOC:5.846mg/L TN:0.5915mg/L"</f>
        <v>NPOC:5.846mg/L TN:0.5915mg/L</v>
      </c>
      <c r="P593">
        <v>1</v>
      </c>
      <c r="Q593" t="str">
        <f>"80"</f>
        <v>80</v>
      </c>
    </row>
    <row r="594" spans="1:17" x14ac:dyDescent="0.2">
      <c r="A594" t="str">
        <f>"Unknown"</f>
        <v>Unknown</v>
      </c>
      <c r="B594" t="str">
        <f>"NPOC/TN"</f>
        <v>NPOC/TN</v>
      </c>
      <c r="C594" t="str">
        <f>"1143"</f>
        <v>1143</v>
      </c>
      <c r="D594" t="str">
        <f>"DI"</f>
        <v>DI</v>
      </c>
      <c r="E594" t="str">
        <f>"C:\TOC3201\Methods\Itamar\acid_sample.met"</f>
        <v>C:\TOC3201\Methods\Itamar\acid_sample.met</v>
      </c>
      <c r="F594" t="str">
        <f>"C:\TOC3201\CalCurves\Itamar\C_cal_100ppm_acid_laurel.2019_08_21_13_17_46.cal"</f>
        <v>C:\TOC3201\CalCurves\Itamar\C_cal_100ppm_acid_laurel.2019_08_21_13_17_46.cal</v>
      </c>
      <c r="G594">
        <v>1</v>
      </c>
      <c r="H594" t="str">
        <f>""</f>
        <v/>
      </c>
      <c r="I594" t="str">
        <f>"8/22/2019 5:53:36 PM"</f>
        <v>8/22/2019 5:53:36 PM</v>
      </c>
      <c r="J594" t="str">
        <f>"1"</f>
        <v>1</v>
      </c>
      <c r="K594" t="str">
        <f>"1"</f>
        <v>1</v>
      </c>
      <c r="L594" t="str">
        <f>"NPOC"</f>
        <v>NPOC</v>
      </c>
      <c r="M594" t="str">
        <f>"31.26"</f>
        <v>31.26</v>
      </c>
      <c r="N594" t="str">
        <f>"6.066"</f>
        <v>6.066</v>
      </c>
      <c r="O594" t="str">
        <f>"NPOC:5.469mg/L TN:0.4296mg/L"</f>
        <v>NPOC:5.469mg/L TN:0.4296mg/L</v>
      </c>
      <c r="P594">
        <v>1</v>
      </c>
      <c r="Q594" t="str">
        <f>"80"</f>
        <v>80</v>
      </c>
    </row>
    <row r="595" spans="1:17" x14ac:dyDescent="0.2">
      <c r="A595" t="str">
        <f>"Unknown"</f>
        <v>Unknown</v>
      </c>
      <c r="B595" t="str">
        <f>"NPOC/TN"</f>
        <v>NPOC/TN</v>
      </c>
      <c r="C595" t="str">
        <f>"1143"</f>
        <v>1143</v>
      </c>
      <c r="D595" t="str">
        <f>"DI"</f>
        <v>DI</v>
      </c>
      <c r="E595" t="str">
        <f>"C:\TOC3201\Methods\Itamar\acid_sample.met"</f>
        <v>C:\TOC3201\Methods\Itamar\acid_sample.met</v>
      </c>
      <c r="F595" t="str">
        <f>"C:\TOC3201\CalCurves\Itamar\C_cal_100ppm_acid_laurel.2019_08_21_13_17_46.cal"</f>
        <v>C:\TOC3201\CalCurves\Itamar\C_cal_100ppm_acid_laurel.2019_08_21_13_17_46.cal</v>
      </c>
      <c r="G595">
        <v>1</v>
      </c>
      <c r="H595" t="str">
        <f>""</f>
        <v/>
      </c>
      <c r="I595" t="str">
        <f>"8/22/2019 5:57:01 PM"</f>
        <v>8/22/2019 5:57:01 PM</v>
      </c>
      <c r="J595" t="str">
        <f>"1"</f>
        <v>1</v>
      </c>
      <c r="K595" t="str">
        <f>"2"</f>
        <v>2</v>
      </c>
      <c r="L595" t="str">
        <f>"NPOC"</f>
        <v>NPOC</v>
      </c>
      <c r="M595" t="str">
        <f>"27.84"</f>
        <v>27.84</v>
      </c>
      <c r="N595" t="str">
        <f>"5.367"</f>
        <v>5.367</v>
      </c>
      <c r="O595" t="str">
        <f>"NPOC:5.469mg/L TN:0.4296mg/L"</f>
        <v>NPOC:5.469mg/L TN:0.4296mg/L</v>
      </c>
      <c r="P595">
        <v>0</v>
      </c>
      <c r="Q595" t="str">
        <f>"80"</f>
        <v>80</v>
      </c>
    </row>
    <row r="596" spans="1:17" x14ac:dyDescent="0.2">
      <c r="A596" t="str">
        <f>"Unknown"</f>
        <v>Unknown</v>
      </c>
      <c r="B596" t="str">
        <f>"NPOC/TN"</f>
        <v>NPOC/TN</v>
      </c>
      <c r="C596" t="str">
        <f>"1143"</f>
        <v>1143</v>
      </c>
      <c r="D596" t="str">
        <f>"DI"</f>
        <v>DI</v>
      </c>
      <c r="E596" t="str">
        <f>"C:\TOC3201\Methods\Itamar\acid_sample.met"</f>
        <v>C:\TOC3201\Methods\Itamar\acid_sample.met</v>
      </c>
      <c r="F596" t="str">
        <f>"C:\TOC3201\CalCurves\Itamar\C_cal_100ppm_acid_laurel.2019_08_21_13_17_46.cal"</f>
        <v>C:\TOC3201\CalCurves\Itamar\C_cal_100ppm_acid_laurel.2019_08_21_13_17_46.cal</v>
      </c>
      <c r="G596">
        <v>1</v>
      </c>
      <c r="H596" t="str">
        <f>""</f>
        <v/>
      </c>
      <c r="I596" t="str">
        <f>"8/22/2019 6:00:25 PM"</f>
        <v>8/22/2019 6:00:25 PM</v>
      </c>
      <c r="J596" t="str">
        <f>"1"</f>
        <v>1</v>
      </c>
      <c r="K596" t="str">
        <f>"3"</f>
        <v>3</v>
      </c>
      <c r="L596" t="str">
        <f>"NPOC"</f>
        <v>NPOC</v>
      </c>
      <c r="M596" t="str">
        <f>"29.89"</f>
        <v>29.89</v>
      </c>
      <c r="N596" t="str">
        <f>"5.786"</f>
        <v>5.786</v>
      </c>
      <c r="O596" t="str">
        <f>"NPOC:5.469mg/L TN:0.4296mg/L"</f>
        <v>NPOC:5.469mg/L TN:0.4296mg/L</v>
      </c>
      <c r="P596">
        <v>1</v>
      </c>
      <c r="Q596" t="str">
        <f>"80"</f>
        <v>80</v>
      </c>
    </row>
    <row r="597" spans="1:17" x14ac:dyDescent="0.2">
      <c r="A597" t="str">
        <f>"Unknown"</f>
        <v>Unknown</v>
      </c>
      <c r="B597" t="str">
        <f>"NPOC/TN"</f>
        <v>NPOC/TN</v>
      </c>
      <c r="C597" t="str">
        <f>"1143"</f>
        <v>1143</v>
      </c>
      <c r="D597" t="str">
        <f>"DI"</f>
        <v>DI</v>
      </c>
      <c r="E597" t="str">
        <f>"C:\TOC3201\Methods\Itamar\acid_sample.met"</f>
        <v>C:\TOC3201\Methods\Itamar\acid_sample.met</v>
      </c>
      <c r="F597" t="str">
        <f>"C:\TOC3201\CalCurves\Itamar\C_cal_100ppm_acid_laurel.2019_08_21_13_17_46.cal"</f>
        <v>C:\TOC3201\CalCurves\Itamar\C_cal_100ppm_acid_laurel.2019_08_21_13_17_46.cal</v>
      </c>
      <c r="G597">
        <v>1</v>
      </c>
      <c r="H597" t="str">
        <f>""</f>
        <v/>
      </c>
      <c r="I597" t="str">
        <f>"8/22/2019 6:03:49 PM"</f>
        <v>8/22/2019 6:03:49 PM</v>
      </c>
      <c r="J597" t="str">
        <f>"1"</f>
        <v>1</v>
      </c>
      <c r="K597" t="str">
        <f>"4"</f>
        <v>4</v>
      </c>
      <c r="L597" t="str">
        <f>"NPOC"</f>
        <v>NPOC</v>
      </c>
      <c r="M597" t="str">
        <f>"29.34"</f>
        <v>29.34</v>
      </c>
      <c r="N597" t="str">
        <f>"5.674"</f>
        <v>5.674</v>
      </c>
      <c r="O597" t="str">
        <f>"NPOC:5.469mg/L TN:0.4296mg/L"</f>
        <v>NPOC:5.469mg/L TN:0.4296mg/L</v>
      </c>
      <c r="P597">
        <v>0</v>
      </c>
      <c r="Q597" t="str">
        <f>"80"</f>
        <v>80</v>
      </c>
    </row>
    <row r="598" spans="1:17" x14ac:dyDescent="0.2">
      <c r="A598" t="str">
        <f>"Unknown"</f>
        <v>Unknown</v>
      </c>
      <c r="B598" t="str">
        <f>"NPOC/TN"</f>
        <v>NPOC/TN</v>
      </c>
      <c r="C598" t="str">
        <f>"1143"</f>
        <v>1143</v>
      </c>
      <c r="D598" t="str">
        <f>"DI"</f>
        <v>DI</v>
      </c>
      <c r="E598" t="str">
        <f>"C:\TOC3201\Methods\Itamar\acid_sample.met"</f>
        <v>C:\TOC3201\Methods\Itamar\acid_sample.met</v>
      </c>
      <c r="F598" t="str">
        <f>"C:\TOC3201\CalCurves\Itamar\C_cal_100ppm_acid_laurel.2019_08_21_13_17_46.cal"</f>
        <v>C:\TOC3201\CalCurves\Itamar\C_cal_100ppm_acid_laurel.2019_08_21_13_17_46.cal</v>
      </c>
      <c r="G598">
        <v>1</v>
      </c>
      <c r="H598" t="str">
        <f>""</f>
        <v/>
      </c>
      <c r="I598" t="str">
        <f>"8/22/2019 6:07:11 PM"</f>
        <v>8/22/2019 6:07:11 PM</v>
      </c>
      <c r="J598" t="str">
        <f>"1"</f>
        <v>1</v>
      </c>
      <c r="K598" t="str">
        <f>"5"</f>
        <v>5</v>
      </c>
      <c r="L598" t="str">
        <f>"NPOC"</f>
        <v>NPOC</v>
      </c>
      <c r="M598" t="str">
        <f>"27.84"</f>
        <v>27.84</v>
      </c>
      <c r="N598" t="str">
        <f>"5.367"</f>
        <v>5.367</v>
      </c>
      <c r="O598" t="str">
        <f>"NPOC:5.469mg/L TN:0.4296mg/L"</f>
        <v>NPOC:5.469mg/L TN:0.4296mg/L</v>
      </c>
      <c r="P598">
        <v>0</v>
      </c>
      <c r="Q598" t="str">
        <f>"80"</f>
        <v>80</v>
      </c>
    </row>
    <row r="599" spans="1:17" x14ac:dyDescent="0.2">
      <c r="A599" t="str">
        <f>"Unknown"</f>
        <v>Unknown</v>
      </c>
      <c r="B599" t="str">
        <f>"NPOC/TN"</f>
        <v>NPOC/TN</v>
      </c>
      <c r="C599" t="str">
        <f>"1143"</f>
        <v>1143</v>
      </c>
      <c r="D599" t="str">
        <f>"DI"</f>
        <v>DI</v>
      </c>
      <c r="E599" t="str">
        <f>"C:\TOC3201\Methods\Itamar\acid_sample.met"</f>
        <v>C:\TOC3201\Methods\Itamar\acid_sample.met</v>
      </c>
      <c r="F599" t="str">
        <f>"C:\TOC3201\CalCurves\Itamar\N_cal_25ppm_acid_laurel.2019_08_21_15_23_49.cal"</f>
        <v>C:\TOC3201\CalCurves\Itamar\N_cal_25ppm_acid_laurel.2019_08_21_15_23_49.cal</v>
      </c>
      <c r="G599">
        <v>1</v>
      </c>
      <c r="H599" t="str">
        <f>""</f>
        <v/>
      </c>
      <c r="I599" t="str">
        <f>"8/22/2019 5:53:36 PM"</f>
        <v>8/22/2019 5:53:36 PM</v>
      </c>
      <c r="J599" t="str">
        <f>"1"</f>
        <v>1</v>
      </c>
      <c r="K599" t="str">
        <f>"1"</f>
        <v>1</v>
      </c>
      <c r="L599" t="str">
        <f>"TN"</f>
        <v>TN</v>
      </c>
      <c r="M599" t="str">
        <f>"1.087"</f>
        <v>1.087</v>
      </c>
      <c r="N599" t="str">
        <f>"0.4525"</f>
        <v>0.4525</v>
      </c>
      <c r="O599" t="str">
        <f>"NPOC:5.469mg/L TN:0.4296mg/L"</f>
        <v>NPOC:5.469mg/L TN:0.4296mg/L</v>
      </c>
      <c r="P599">
        <v>0</v>
      </c>
      <c r="Q599" t="str">
        <f>"80"</f>
        <v>80</v>
      </c>
    </row>
    <row r="600" spans="1:17" x14ac:dyDescent="0.2">
      <c r="A600" t="str">
        <f>"Unknown"</f>
        <v>Unknown</v>
      </c>
      <c r="B600" t="str">
        <f>"NPOC/TN"</f>
        <v>NPOC/TN</v>
      </c>
      <c r="C600" t="str">
        <f>"1143"</f>
        <v>1143</v>
      </c>
      <c r="D600" t="str">
        <f>"DI"</f>
        <v>DI</v>
      </c>
      <c r="E600" t="str">
        <f>"C:\TOC3201\Methods\Itamar\acid_sample.met"</f>
        <v>C:\TOC3201\Methods\Itamar\acid_sample.met</v>
      </c>
      <c r="F600" t="str">
        <f>"C:\TOC3201\CalCurves\Itamar\N_cal_25ppm_acid_laurel.2019_08_21_15_23_49.cal"</f>
        <v>C:\TOC3201\CalCurves\Itamar\N_cal_25ppm_acid_laurel.2019_08_21_15_23_49.cal</v>
      </c>
      <c r="G600">
        <v>1</v>
      </c>
      <c r="H600" t="str">
        <f>""</f>
        <v/>
      </c>
      <c r="I600" t="str">
        <f>"8/22/2019 5:57:01 PM"</f>
        <v>8/22/2019 5:57:01 PM</v>
      </c>
      <c r="J600" t="str">
        <f>"1"</f>
        <v>1</v>
      </c>
      <c r="K600" t="str">
        <f>"2"</f>
        <v>2</v>
      </c>
      <c r="L600" t="str">
        <f>"TN"</f>
        <v>TN</v>
      </c>
      <c r="M600" t="str">
        <f>"0.8863"</f>
        <v>0.8863</v>
      </c>
      <c r="N600" t="str">
        <f>"0.3975"</f>
        <v>0.3975</v>
      </c>
      <c r="O600" t="str">
        <f>"NPOC:5.469mg/L TN:0.4296mg/L"</f>
        <v>NPOC:5.469mg/L TN:0.4296mg/L</v>
      </c>
      <c r="P600">
        <v>0</v>
      </c>
      <c r="Q600" t="str">
        <f>"80"</f>
        <v>80</v>
      </c>
    </row>
    <row r="601" spans="1:17" x14ac:dyDescent="0.2">
      <c r="A601" t="str">
        <f>"Unknown"</f>
        <v>Unknown</v>
      </c>
      <c r="B601" t="str">
        <f>"NPOC/TN"</f>
        <v>NPOC/TN</v>
      </c>
      <c r="C601" t="str">
        <f>"1143"</f>
        <v>1143</v>
      </c>
      <c r="D601" t="str">
        <f>"DI"</f>
        <v>DI</v>
      </c>
      <c r="E601" t="str">
        <f>"C:\TOC3201\Methods\Itamar\acid_sample.met"</f>
        <v>C:\TOC3201\Methods\Itamar\acid_sample.met</v>
      </c>
      <c r="F601" t="str">
        <f>"C:\TOC3201\CalCurves\Itamar\N_cal_25ppm_acid_laurel.2019_08_21_15_23_49.cal"</f>
        <v>C:\TOC3201\CalCurves\Itamar\N_cal_25ppm_acid_laurel.2019_08_21_15_23_49.cal</v>
      </c>
      <c r="G601">
        <v>1</v>
      </c>
      <c r="H601" t="str">
        <f>""</f>
        <v/>
      </c>
      <c r="I601" t="str">
        <f>"8/22/2019 6:00:25 PM"</f>
        <v>8/22/2019 6:00:25 PM</v>
      </c>
      <c r="J601" t="str">
        <f>"1"</f>
        <v>1</v>
      </c>
      <c r="K601" t="str">
        <f>"3"</f>
        <v>3</v>
      </c>
      <c r="L601" t="str">
        <f>"TN"</f>
        <v>TN</v>
      </c>
      <c r="M601" t="str">
        <f>"1.758"</f>
        <v>1.758</v>
      </c>
      <c r="N601" t="str">
        <f>"0.6366"</f>
        <v>0.6366</v>
      </c>
      <c r="O601" t="str">
        <f>"NPOC:5.469mg/L TN:0.4296mg/L"</f>
        <v>NPOC:5.469mg/L TN:0.4296mg/L</v>
      </c>
      <c r="P601">
        <v>1</v>
      </c>
      <c r="Q601" t="str">
        <f>"80"</f>
        <v>80</v>
      </c>
    </row>
    <row r="602" spans="1:17" x14ac:dyDescent="0.2">
      <c r="A602" t="str">
        <f>"Unknown"</f>
        <v>Unknown</v>
      </c>
      <c r="B602" t="str">
        <f>"NPOC/TN"</f>
        <v>NPOC/TN</v>
      </c>
      <c r="C602" t="str">
        <f>"1143"</f>
        <v>1143</v>
      </c>
      <c r="D602" t="str">
        <f>"DI"</f>
        <v>DI</v>
      </c>
      <c r="E602" t="str">
        <f>"C:\TOC3201\Methods\Itamar\acid_sample.met"</f>
        <v>C:\TOC3201\Methods\Itamar\acid_sample.met</v>
      </c>
      <c r="F602" t="str">
        <f>"C:\TOC3201\CalCurves\Itamar\N_cal_25ppm_acid_laurel.2019_08_21_15_23_49.cal"</f>
        <v>C:\TOC3201\CalCurves\Itamar\N_cal_25ppm_acid_laurel.2019_08_21_15_23_49.cal</v>
      </c>
      <c r="G602">
        <v>1</v>
      </c>
      <c r="H602" t="str">
        <f>""</f>
        <v/>
      </c>
      <c r="I602" t="str">
        <f>"8/22/2019 6:03:49 PM"</f>
        <v>8/22/2019 6:03:49 PM</v>
      </c>
      <c r="J602" t="str">
        <f>"1"</f>
        <v>1</v>
      </c>
      <c r="K602" t="str">
        <f>"4"</f>
        <v>4</v>
      </c>
      <c r="L602" t="str">
        <f>"TN"</f>
        <v>TN</v>
      </c>
      <c r="M602" t="str">
        <f>"1.553"</f>
        <v>1.553</v>
      </c>
      <c r="N602" t="str">
        <f>"0.5803"</f>
        <v>0.5803</v>
      </c>
      <c r="O602" t="str">
        <f>"NPOC:5.469mg/L TN:0.4296mg/L"</f>
        <v>NPOC:5.469mg/L TN:0.4296mg/L</v>
      </c>
      <c r="P602">
        <v>1</v>
      </c>
      <c r="Q602" t="str">
        <f>"80"</f>
        <v>80</v>
      </c>
    </row>
    <row r="603" spans="1:17" x14ac:dyDescent="0.2">
      <c r="A603" t="str">
        <f>"Unknown"</f>
        <v>Unknown</v>
      </c>
      <c r="B603" t="str">
        <f>"NPOC/TN"</f>
        <v>NPOC/TN</v>
      </c>
      <c r="C603" t="str">
        <f>"1143"</f>
        <v>1143</v>
      </c>
      <c r="D603" t="str">
        <f>"DI"</f>
        <v>DI</v>
      </c>
      <c r="E603" t="str">
        <f>"C:\TOC3201\Methods\Itamar\acid_sample.met"</f>
        <v>C:\TOC3201\Methods\Itamar\acid_sample.met</v>
      </c>
      <c r="F603" t="str">
        <f>"C:\TOC3201\CalCurves\Itamar\N_cal_25ppm_acid_laurel.2019_08_21_15_23_49.cal"</f>
        <v>C:\TOC3201\CalCurves\Itamar\N_cal_25ppm_acid_laurel.2019_08_21_15_23_49.cal</v>
      </c>
      <c r="G603">
        <v>1</v>
      </c>
      <c r="H603" t="str">
        <f>""</f>
        <v/>
      </c>
      <c r="I603" t="str">
        <f>"8/22/2019 6:07:11 PM"</f>
        <v>8/22/2019 6:07:11 PM</v>
      </c>
      <c r="J603" t="str">
        <f>"1"</f>
        <v>1</v>
      </c>
      <c r="K603" t="str">
        <f>"5"</f>
        <v>5</v>
      </c>
      <c r="L603" t="str">
        <f>"TN"</f>
        <v>TN</v>
      </c>
      <c r="M603" t="str">
        <f>"1.037"</f>
        <v>1.037</v>
      </c>
      <c r="N603" t="str">
        <f>"0.4388"</f>
        <v>0.4388</v>
      </c>
      <c r="O603" t="str">
        <f>"NPOC:5.469mg/L TN:0.4296mg/L"</f>
        <v>NPOC:5.469mg/L TN:0.4296mg/L</v>
      </c>
      <c r="P603">
        <v>0</v>
      </c>
      <c r="Q603" t="str">
        <f>"80"</f>
        <v>80</v>
      </c>
    </row>
    <row r="604" spans="1:17" x14ac:dyDescent="0.2">
      <c r="A604" t="str">
        <f>"Unknown"</f>
        <v>Unknown</v>
      </c>
      <c r="B604" t="str">
        <f>"NPOC/TN"</f>
        <v>NPOC/TN</v>
      </c>
      <c r="C604" t="str">
        <f>"1145"</f>
        <v>1145</v>
      </c>
      <c r="D604" t="str">
        <f>"DI"</f>
        <v>DI</v>
      </c>
      <c r="E604" t="str">
        <f>"C:\TOC3201\Methods\Itamar\acid_sample.met"</f>
        <v>C:\TOC3201\Methods\Itamar\acid_sample.met</v>
      </c>
      <c r="F604" t="str">
        <f>"C:\TOC3201\CalCurves\Itamar\C_cal_100ppm_acid_laurel.2019_08_21_13_17_46.cal"</f>
        <v>C:\TOC3201\CalCurves\Itamar\C_cal_100ppm_acid_laurel.2019_08_21_13_17_46.cal</v>
      </c>
      <c r="G604">
        <v>1</v>
      </c>
      <c r="H604" t="str">
        <f>""</f>
        <v/>
      </c>
      <c r="I604" t="str">
        <f>"8/22/2019 6:17:07 PM"</f>
        <v>8/22/2019 6:17:07 PM</v>
      </c>
      <c r="J604" t="str">
        <f>"1"</f>
        <v>1</v>
      </c>
      <c r="K604" t="str">
        <f>"1"</f>
        <v>1</v>
      </c>
      <c r="L604" t="str">
        <f>"NPOC"</f>
        <v>NPOC</v>
      </c>
      <c r="M604" t="str">
        <f>"29.54"</f>
        <v>29.54</v>
      </c>
      <c r="N604" t="str">
        <f>"5.715"</f>
        <v>5.715</v>
      </c>
      <c r="O604" t="str">
        <f>"NPOC:5.725mg/L TN:0.5256mg/L"</f>
        <v>NPOC:5.725mg/L TN:0.5256mg/L</v>
      </c>
      <c r="P604">
        <v>0</v>
      </c>
      <c r="Q604" t="str">
        <f>"80"</f>
        <v>80</v>
      </c>
    </row>
    <row r="605" spans="1:17" x14ac:dyDescent="0.2">
      <c r="A605" t="str">
        <f>"Unknown"</f>
        <v>Unknown</v>
      </c>
      <c r="B605" t="str">
        <f>"NPOC/TN"</f>
        <v>NPOC/TN</v>
      </c>
      <c r="C605" t="str">
        <f>"1145"</f>
        <v>1145</v>
      </c>
      <c r="D605" t="str">
        <f>"DI"</f>
        <v>DI</v>
      </c>
      <c r="E605" t="str">
        <f>"C:\TOC3201\Methods\Itamar\acid_sample.met"</f>
        <v>C:\TOC3201\Methods\Itamar\acid_sample.met</v>
      </c>
      <c r="F605" t="str">
        <f>"C:\TOC3201\CalCurves\Itamar\C_cal_100ppm_acid_laurel.2019_08_21_13_17_46.cal"</f>
        <v>C:\TOC3201\CalCurves\Itamar\C_cal_100ppm_acid_laurel.2019_08_21_13_17_46.cal</v>
      </c>
      <c r="G605">
        <v>1</v>
      </c>
      <c r="H605" t="str">
        <f>""</f>
        <v/>
      </c>
      <c r="I605" t="str">
        <f>"8/22/2019 6:20:24 PM"</f>
        <v>8/22/2019 6:20:24 PM</v>
      </c>
      <c r="J605" t="str">
        <f>"1"</f>
        <v>1</v>
      </c>
      <c r="K605" t="str">
        <f>"2"</f>
        <v>2</v>
      </c>
      <c r="L605" t="str">
        <f>"NPOC"</f>
        <v>NPOC</v>
      </c>
      <c r="M605" t="str">
        <f>"27.78"</f>
        <v>27.78</v>
      </c>
      <c r="N605" t="str">
        <f>"5.355"</f>
        <v>5.355</v>
      </c>
      <c r="O605" t="str">
        <f>"NPOC:5.725mg/L TN:0.5256mg/L"</f>
        <v>NPOC:5.725mg/L TN:0.5256mg/L</v>
      </c>
      <c r="P605">
        <v>1</v>
      </c>
      <c r="Q605" t="str">
        <f>"80"</f>
        <v>80</v>
      </c>
    </row>
    <row r="606" spans="1:17" x14ac:dyDescent="0.2">
      <c r="A606" t="str">
        <f>"Unknown"</f>
        <v>Unknown</v>
      </c>
      <c r="B606" t="str">
        <f>"NPOC/TN"</f>
        <v>NPOC/TN</v>
      </c>
      <c r="C606" t="str">
        <f>"1145"</f>
        <v>1145</v>
      </c>
      <c r="D606" t="str">
        <f>"DI"</f>
        <v>DI</v>
      </c>
      <c r="E606" t="str">
        <f>"C:\TOC3201\Methods\Itamar\acid_sample.met"</f>
        <v>C:\TOC3201\Methods\Itamar\acid_sample.met</v>
      </c>
      <c r="F606" t="str">
        <f>"C:\TOC3201\CalCurves\Itamar\C_cal_100ppm_acid_laurel.2019_08_21_13_17_46.cal"</f>
        <v>C:\TOC3201\CalCurves\Itamar\C_cal_100ppm_acid_laurel.2019_08_21_13_17_46.cal</v>
      </c>
      <c r="G606">
        <v>1</v>
      </c>
      <c r="H606" t="str">
        <f>""</f>
        <v/>
      </c>
      <c r="I606" t="str">
        <f>"8/22/2019 6:23:57 PM"</f>
        <v>8/22/2019 6:23:57 PM</v>
      </c>
      <c r="J606" t="str">
        <f>"1"</f>
        <v>1</v>
      </c>
      <c r="K606" t="str">
        <f>"3"</f>
        <v>3</v>
      </c>
      <c r="L606" t="str">
        <f>"NPOC"</f>
        <v>NPOC</v>
      </c>
      <c r="M606" t="str">
        <f>"29.60"</f>
        <v>29.60</v>
      </c>
      <c r="N606" t="str">
        <f>"5.727"</f>
        <v>5.727</v>
      </c>
      <c r="O606" t="str">
        <f>"NPOC:5.725mg/L TN:0.5256mg/L"</f>
        <v>NPOC:5.725mg/L TN:0.5256mg/L</v>
      </c>
      <c r="P606">
        <v>0</v>
      </c>
      <c r="Q606" t="str">
        <f>"80"</f>
        <v>80</v>
      </c>
    </row>
    <row r="607" spans="1:17" x14ac:dyDescent="0.2">
      <c r="A607" t="str">
        <f>"Unknown"</f>
        <v>Unknown</v>
      </c>
      <c r="B607" t="str">
        <f>"NPOC/TN"</f>
        <v>NPOC/TN</v>
      </c>
      <c r="C607" t="str">
        <f>"1145"</f>
        <v>1145</v>
      </c>
      <c r="D607" t="str">
        <f>"DI"</f>
        <v>DI</v>
      </c>
      <c r="E607" t="str">
        <f>"C:\TOC3201\Methods\Itamar\acid_sample.met"</f>
        <v>C:\TOC3201\Methods\Itamar\acid_sample.met</v>
      </c>
      <c r="F607" t="str">
        <f>"C:\TOC3201\CalCurves\Itamar\C_cal_100ppm_acid_laurel.2019_08_21_13_17_46.cal"</f>
        <v>C:\TOC3201\CalCurves\Itamar\C_cal_100ppm_acid_laurel.2019_08_21_13_17_46.cal</v>
      </c>
      <c r="G607">
        <v>1</v>
      </c>
      <c r="H607" t="str">
        <f>""</f>
        <v/>
      </c>
      <c r="I607" t="str">
        <f>"8/22/2019 6:27:23 PM"</f>
        <v>8/22/2019 6:27:23 PM</v>
      </c>
      <c r="J607" t="str">
        <f>"1"</f>
        <v>1</v>
      </c>
      <c r="K607" t="str">
        <f>"4"</f>
        <v>4</v>
      </c>
      <c r="L607" t="str">
        <f>"NPOC"</f>
        <v>NPOC</v>
      </c>
      <c r="M607" t="str">
        <f>"29.63"</f>
        <v>29.63</v>
      </c>
      <c r="N607" t="str">
        <f>"5.733"</f>
        <v>5.733</v>
      </c>
      <c r="O607" t="str">
        <f>"NPOC:5.725mg/L TN:0.5256mg/L"</f>
        <v>NPOC:5.725mg/L TN:0.5256mg/L</v>
      </c>
      <c r="P607">
        <v>0</v>
      </c>
      <c r="Q607" t="str">
        <f>"80"</f>
        <v>80</v>
      </c>
    </row>
    <row r="608" spans="1:17" x14ac:dyDescent="0.2">
      <c r="A608" t="str">
        <f>"Unknown"</f>
        <v>Unknown</v>
      </c>
      <c r="B608" t="str">
        <f>"NPOC/TN"</f>
        <v>NPOC/TN</v>
      </c>
      <c r="C608" t="str">
        <f>"1145"</f>
        <v>1145</v>
      </c>
      <c r="D608" t="str">
        <f>"DI"</f>
        <v>DI</v>
      </c>
      <c r="E608" t="str">
        <f>"C:\TOC3201\Methods\Itamar\acid_sample.met"</f>
        <v>C:\TOC3201\Methods\Itamar\acid_sample.met</v>
      </c>
      <c r="F608" t="str">
        <f>"C:\TOC3201\CalCurves\Itamar\N_cal_25ppm_acid_laurel.2019_08_21_15_23_49.cal"</f>
        <v>C:\TOC3201\CalCurves\Itamar\N_cal_25ppm_acid_laurel.2019_08_21_15_23_49.cal</v>
      </c>
      <c r="G608">
        <v>1</v>
      </c>
      <c r="H608" t="str">
        <f>""</f>
        <v/>
      </c>
      <c r="I608" t="str">
        <f>"8/22/2019 6:17:07 PM"</f>
        <v>8/22/2019 6:17:07 PM</v>
      </c>
      <c r="J608" t="str">
        <f>"1"</f>
        <v>1</v>
      </c>
      <c r="K608" t="str">
        <f>"1"</f>
        <v>1</v>
      </c>
      <c r="L608" t="str">
        <f>"TN"</f>
        <v>TN</v>
      </c>
      <c r="M608" t="str">
        <f>"2.134"</f>
        <v>2.134</v>
      </c>
      <c r="N608" t="str">
        <f>"0.7397"</f>
        <v>0.7397</v>
      </c>
      <c r="O608" t="str">
        <f>"NPOC:5.725mg/L TN:0.5256mg/L"</f>
        <v>NPOC:5.725mg/L TN:0.5256mg/L</v>
      </c>
      <c r="P608">
        <v>1</v>
      </c>
      <c r="Q608" t="str">
        <f>"80"</f>
        <v>80</v>
      </c>
    </row>
    <row r="609" spans="1:17" x14ac:dyDescent="0.2">
      <c r="A609" t="str">
        <f>"Unknown"</f>
        <v>Unknown</v>
      </c>
      <c r="B609" t="str">
        <f>"NPOC/TN"</f>
        <v>NPOC/TN</v>
      </c>
      <c r="C609" t="str">
        <f>"1145"</f>
        <v>1145</v>
      </c>
      <c r="D609" t="str">
        <f>"DI"</f>
        <v>DI</v>
      </c>
      <c r="E609" t="str">
        <f>"C:\TOC3201\Methods\Itamar\acid_sample.met"</f>
        <v>C:\TOC3201\Methods\Itamar\acid_sample.met</v>
      </c>
      <c r="F609" t="str">
        <f>"C:\TOC3201\CalCurves\Itamar\N_cal_25ppm_acid_laurel.2019_08_21_15_23_49.cal"</f>
        <v>C:\TOC3201\CalCurves\Itamar\N_cal_25ppm_acid_laurel.2019_08_21_15_23_49.cal</v>
      </c>
      <c r="G609">
        <v>1</v>
      </c>
      <c r="H609" t="str">
        <f>""</f>
        <v/>
      </c>
      <c r="I609" t="str">
        <f>"8/22/2019 6:20:24 PM"</f>
        <v>8/22/2019 6:20:24 PM</v>
      </c>
      <c r="J609" t="str">
        <f>"1"</f>
        <v>1</v>
      </c>
      <c r="K609" t="str">
        <f>"2"</f>
        <v>2</v>
      </c>
      <c r="L609" t="str">
        <f>"TN"</f>
        <v>TN</v>
      </c>
      <c r="M609" t="str">
        <f>"1.324"</f>
        <v>1.324</v>
      </c>
      <c r="N609" t="str">
        <f>"0.5175"</f>
        <v>0.5175</v>
      </c>
      <c r="O609" t="str">
        <f>"NPOC:5.725mg/L TN:0.5256mg/L"</f>
        <v>NPOC:5.725mg/L TN:0.5256mg/L</v>
      </c>
      <c r="P609">
        <v>0</v>
      </c>
      <c r="Q609" t="str">
        <f>"80"</f>
        <v>80</v>
      </c>
    </row>
    <row r="610" spans="1:17" x14ac:dyDescent="0.2">
      <c r="A610" t="str">
        <f>"Unknown"</f>
        <v>Unknown</v>
      </c>
      <c r="B610" t="str">
        <f>"NPOC/TN"</f>
        <v>NPOC/TN</v>
      </c>
      <c r="C610" t="str">
        <f>"1145"</f>
        <v>1145</v>
      </c>
      <c r="D610" t="str">
        <f>"DI"</f>
        <v>DI</v>
      </c>
      <c r="E610" t="str">
        <f>"C:\TOC3201\Methods\Itamar\acid_sample.met"</f>
        <v>C:\TOC3201\Methods\Itamar\acid_sample.met</v>
      </c>
      <c r="F610" t="str">
        <f>"C:\TOC3201\CalCurves\Itamar\N_cal_25ppm_acid_laurel.2019_08_21_15_23_49.cal"</f>
        <v>C:\TOC3201\CalCurves\Itamar\N_cal_25ppm_acid_laurel.2019_08_21_15_23_49.cal</v>
      </c>
      <c r="G610">
        <v>1</v>
      </c>
      <c r="H610" t="str">
        <f>""</f>
        <v/>
      </c>
      <c r="I610" t="str">
        <f>"8/22/2019 6:23:57 PM"</f>
        <v>8/22/2019 6:23:57 PM</v>
      </c>
      <c r="J610" t="str">
        <f>"1"</f>
        <v>1</v>
      </c>
      <c r="K610" t="str">
        <f>"3"</f>
        <v>3</v>
      </c>
      <c r="L610" t="str">
        <f>"TN"</f>
        <v>TN</v>
      </c>
      <c r="M610" t="str">
        <f>"1.372"</f>
        <v>1.372</v>
      </c>
      <c r="N610" t="str">
        <f>"0.5307"</f>
        <v>0.5307</v>
      </c>
      <c r="O610" t="str">
        <f>"NPOC:5.725mg/L TN:0.5256mg/L"</f>
        <v>NPOC:5.725mg/L TN:0.5256mg/L</v>
      </c>
      <c r="P610">
        <v>0</v>
      </c>
      <c r="Q610" t="str">
        <f>"80"</f>
        <v>80</v>
      </c>
    </row>
    <row r="611" spans="1:17" x14ac:dyDescent="0.2">
      <c r="A611" t="str">
        <f>"Unknown"</f>
        <v>Unknown</v>
      </c>
      <c r="B611" t="str">
        <f>"NPOC/TN"</f>
        <v>NPOC/TN</v>
      </c>
      <c r="C611" t="str">
        <f>"1145"</f>
        <v>1145</v>
      </c>
      <c r="D611" t="str">
        <f>"DI"</f>
        <v>DI</v>
      </c>
      <c r="E611" t="str">
        <f>"C:\TOC3201\Methods\Itamar\acid_sample.met"</f>
        <v>C:\TOC3201\Methods\Itamar\acid_sample.met</v>
      </c>
      <c r="F611" t="str">
        <f>"C:\TOC3201\CalCurves\Itamar\N_cal_25ppm_acid_laurel.2019_08_21_15_23_49.cal"</f>
        <v>C:\TOC3201\CalCurves\Itamar\N_cal_25ppm_acid_laurel.2019_08_21_15_23_49.cal</v>
      </c>
      <c r="G611">
        <v>1</v>
      </c>
      <c r="H611" t="str">
        <f>""</f>
        <v/>
      </c>
      <c r="I611" t="str">
        <f>"8/22/2019 6:27:23 PM"</f>
        <v>8/22/2019 6:27:23 PM</v>
      </c>
      <c r="J611" t="str">
        <f>"1"</f>
        <v>1</v>
      </c>
      <c r="K611" t="str">
        <f>"4"</f>
        <v>4</v>
      </c>
      <c r="L611" t="str">
        <f>"TN"</f>
        <v>TN</v>
      </c>
      <c r="M611" t="str">
        <f>"1.364"</f>
        <v>1.364</v>
      </c>
      <c r="N611" t="str">
        <f>"0.5285"</f>
        <v>0.5285</v>
      </c>
      <c r="O611" t="str">
        <f>"NPOC:5.725mg/L TN:0.5256mg/L"</f>
        <v>NPOC:5.725mg/L TN:0.5256mg/L</v>
      </c>
      <c r="P611">
        <v>0</v>
      </c>
      <c r="Q611" t="str">
        <f>"80"</f>
        <v>80</v>
      </c>
    </row>
    <row r="612" spans="1:17" x14ac:dyDescent="0.2">
      <c r="A612" t="str">
        <f>"Unknown"</f>
        <v>Unknown</v>
      </c>
      <c r="B612" t="str">
        <f>"NPOC/TN"</f>
        <v>NPOC/TN</v>
      </c>
      <c r="C612" t="str">
        <f>"1147"</f>
        <v>1147</v>
      </c>
      <c r="D612" t="str">
        <f>"DI"</f>
        <v>DI</v>
      </c>
      <c r="E612" t="str">
        <f>"C:\TOC3201\Methods\Itamar\acid_sample.met"</f>
        <v>C:\TOC3201\Methods\Itamar\acid_sample.met</v>
      </c>
      <c r="F612" t="str">
        <f>"C:\TOC3201\CalCurves\Itamar\C_cal_100ppm_acid_laurel.2019_08_21_13_17_46.cal"</f>
        <v>C:\TOC3201\CalCurves\Itamar\C_cal_100ppm_acid_laurel.2019_08_21_13_17_46.cal</v>
      </c>
      <c r="G612">
        <v>1</v>
      </c>
      <c r="H612" t="str">
        <f>""</f>
        <v/>
      </c>
      <c r="I612" t="str">
        <f>"8/22/2019 6:37:25 PM"</f>
        <v>8/22/2019 6:37:25 PM</v>
      </c>
      <c r="J612" t="str">
        <f>"1"</f>
        <v>1</v>
      </c>
      <c r="K612" t="str">
        <f>"1"</f>
        <v>1</v>
      </c>
      <c r="L612" t="str">
        <f>"NPOC"</f>
        <v>NPOC</v>
      </c>
      <c r="M612" t="str">
        <f>"32.14"</f>
        <v>32.14</v>
      </c>
      <c r="N612" t="str">
        <f>"6.246"</f>
        <v>6.246</v>
      </c>
      <c r="O612" t="str">
        <f>"NPOC:6.327mg/L TN:0.4452mg/L"</f>
        <v>NPOC:6.327mg/L TN:0.4452mg/L</v>
      </c>
      <c r="P612">
        <v>0</v>
      </c>
      <c r="Q612" t="str">
        <f>"80"</f>
        <v>80</v>
      </c>
    </row>
    <row r="613" spans="1:17" x14ac:dyDescent="0.2">
      <c r="A613" t="str">
        <f>"Unknown"</f>
        <v>Unknown</v>
      </c>
      <c r="B613" t="str">
        <f>"NPOC/TN"</f>
        <v>NPOC/TN</v>
      </c>
      <c r="C613" t="str">
        <f>"1147"</f>
        <v>1147</v>
      </c>
      <c r="D613" t="str">
        <f>"DI"</f>
        <v>DI</v>
      </c>
      <c r="E613" t="str">
        <f>"C:\TOC3201\Methods\Itamar\acid_sample.met"</f>
        <v>C:\TOC3201\Methods\Itamar\acid_sample.met</v>
      </c>
      <c r="F613" t="str">
        <f>"C:\TOC3201\CalCurves\Itamar\C_cal_100ppm_acid_laurel.2019_08_21_13_17_46.cal"</f>
        <v>C:\TOC3201\CalCurves\Itamar\C_cal_100ppm_acid_laurel.2019_08_21_13_17_46.cal</v>
      </c>
      <c r="G613">
        <v>1</v>
      </c>
      <c r="H613" t="str">
        <f>""</f>
        <v/>
      </c>
      <c r="I613" t="str">
        <f>"8/22/2019 6:40:52 PM"</f>
        <v>8/22/2019 6:40:52 PM</v>
      </c>
      <c r="J613" t="str">
        <f>"1"</f>
        <v>1</v>
      </c>
      <c r="K613" t="str">
        <f>"2"</f>
        <v>2</v>
      </c>
      <c r="L613" t="str">
        <f>"NPOC"</f>
        <v>NPOC</v>
      </c>
      <c r="M613" t="str">
        <f>"32.21"</f>
        <v>32.21</v>
      </c>
      <c r="N613" t="str">
        <f>"6.261"</f>
        <v>6.261</v>
      </c>
      <c r="O613" t="str">
        <f>"NPOC:6.327mg/L TN:0.4452mg/L"</f>
        <v>NPOC:6.327mg/L TN:0.4452mg/L</v>
      </c>
      <c r="P613">
        <v>0</v>
      </c>
      <c r="Q613" t="str">
        <f>"80"</f>
        <v>80</v>
      </c>
    </row>
    <row r="614" spans="1:17" x14ac:dyDescent="0.2">
      <c r="A614" t="str">
        <f>"Unknown"</f>
        <v>Unknown</v>
      </c>
      <c r="B614" t="str">
        <f>"NPOC/TN"</f>
        <v>NPOC/TN</v>
      </c>
      <c r="C614" t="str">
        <f>"1147"</f>
        <v>1147</v>
      </c>
      <c r="D614" t="str">
        <f>"DI"</f>
        <v>DI</v>
      </c>
      <c r="E614" t="str">
        <f>"C:\TOC3201\Methods\Itamar\acid_sample.met"</f>
        <v>C:\TOC3201\Methods\Itamar\acid_sample.met</v>
      </c>
      <c r="F614" t="str">
        <f>"C:\TOC3201\CalCurves\Itamar\C_cal_100ppm_acid_laurel.2019_08_21_13_17_46.cal"</f>
        <v>C:\TOC3201\CalCurves\Itamar\C_cal_100ppm_acid_laurel.2019_08_21_13_17_46.cal</v>
      </c>
      <c r="G614">
        <v>1</v>
      </c>
      <c r="H614" t="str">
        <f>""</f>
        <v/>
      </c>
      <c r="I614" t="str">
        <f>"8/22/2019 6:44:19 PM"</f>
        <v>8/22/2019 6:44:19 PM</v>
      </c>
      <c r="J614" t="str">
        <f>"1"</f>
        <v>1</v>
      </c>
      <c r="K614" t="str">
        <f>"3"</f>
        <v>3</v>
      </c>
      <c r="L614" t="str">
        <f>"NPOC"</f>
        <v>NPOC</v>
      </c>
      <c r="M614" t="str">
        <f>"33.25"</f>
        <v>33.25</v>
      </c>
      <c r="N614" t="str">
        <f>"6.473"</f>
        <v>6.473</v>
      </c>
      <c r="O614" t="str">
        <f>"NPOC:6.327mg/L TN:0.4452mg/L"</f>
        <v>NPOC:6.327mg/L TN:0.4452mg/L</v>
      </c>
      <c r="P614">
        <v>0</v>
      </c>
      <c r="Q614" t="str">
        <f>"80"</f>
        <v>80</v>
      </c>
    </row>
    <row r="615" spans="1:17" x14ac:dyDescent="0.2">
      <c r="A615" t="str">
        <f>"Unknown"</f>
        <v>Unknown</v>
      </c>
      <c r="B615" t="str">
        <f>"NPOC/TN"</f>
        <v>NPOC/TN</v>
      </c>
      <c r="C615" t="str">
        <f>"1147"</f>
        <v>1147</v>
      </c>
      <c r="D615" t="str">
        <f>"DI"</f>
        <v>DI</v>
      </c>
      <c r="E615" t="str">
        <f>"C:\TOC3201\Methods\Itamar\acid_sample.met"</f>
        <v>C:\TOC3201\Methods\Itamar\acid_sample.met</v>
      </c>
      <c r="F615" t="str">
        <f>"C:\TOC3201\CalCurves\Itamar\N_cal_25ppm_acid_laurel.2019_08_21_15_23_49.cal"</f>
        <v>C:\TOC3201\CalCurves\Itamar\N_cal_25ppm_acid_laurel.2019_08_21_15_23_49.cal</v>
      </c>
      <c r="G615">
        <v>1</v>
      </c>
      <c r="H615" t="str">
        <f>""</f>
        <v/>
      </c>
      <c r="I615" t="str">
        <f>"8/22/2019 6:37:25 PM"</f>
        <v>8/22/2019 6:37:25 PM</v>
      </c>
      <c r="J615" t="str">
        <f>"1"</f>
        <v>1</v>
      </c>
      <c r="K615" t="str">
        <f>"1"</f>
        <v>1</v>
      </c>
      <c r="L615" t="str">
        <f>"TN"</f>
        <v>TN</v>
      </c>
      <c r="M615" t="str">
        <f>"1.012"</f>
        <v>1.012</v>
      </c>
      <c r="N615" t="str">
        <f>"0.4319"</f>
        <v>0.4319</v>
      </c>
      <c r="O615" t="str">
        <f>"NPOC:6.327mg/L TN:0.4452mg/L"</f>
        <v>NPOC:6.327mg/L TN:0.4452mg/L</v>
      </c>
      <c r="P615">
        <v>0</v>
      </c>
      <c r="Q615" t="str">
        <f>"80"</f>
        <v>80</v>
      </c>
    </row>
    <row r="616" spans="1:17" x14ac:dyDescent="0.2">
      <c r="A616" t="str">
        <f>"Unknown"</f>
        <v>Unknown</v>
      </c>
      <c r="B616" t="str">
        <f>"NPOC/TN"</f>
        <v>NPOC/TN</v>
      </c>
      <c r="C616" t="str">
        <f>"1147"</f>
        <v>1147</v>
      </c>
      <c r="D616" t="str">
        <f>"DI"</f>
        <v>DI</v>
      </c>
      <c r="E616" t="str">
        <f>"C:\TOC3201\Methods\Itamar\acid_sample.met"</f>
        <v>C:\TOC3201\Methods\Itamar\acid_sample.met</v>
      </c>
      <c r="F616" t="str">
        <f>"C:\TOC3201\CalCurves\Itamar\N_cal_25ppm_acid_laurel.2019_08_21_15_23_49.cal"</f>
        <v>C:\TOC3201\CalCurves\Itamar\N_cal_25ppm_acid_laurel.2019_08_21_15_23_49.cal</v>
      </c>
      <c r="G616">
        <v>1</v>
      </c>
      <c r="H616" t="str">
        <f>""</f>
        <v/>
      </c>
      <c r="I616" t="str">
        <f>"8/22/2019 6:40:52 PM"</f>
        <v>8/22/2019 6:40:52 PM</v>
      </c>
      <c r="J616" t="str">
        <f>"1"</f>
        <v>1</v>
      </c>
      <c r="K616" t="str">
        <f>"2"</f>
        <v>2</v>
      </c>
      <c r="L616" t="str">
        <f>"TN"</f>
        <v>TN</v>
      </c>
      <c r="M616" t="str">
        <f>"1.132"</f>
        <v>1.132</v>
      </c>
      <c r="N616" t="str">
        <f>"0.4649"</f>
        <v>0.4649</v>
      </c>
      <c r="O616" t="str">
        <f>"NPOC:6.327mg/L TN:0.4452mg/L"</f>
        <v>NPOC:6.327mg/L TN:0.4452mg/L</v>
      </c>
      <c r="P616">
        <v>0</v>
      </c>
      <c r="Q616" t="str">
        <f>"80"</f>
        <v>80</v>
      </c>
    </row>
    <row r="617" spans="1:17" x14ac:dyDescent="0.2">
      <c r="A617" t="str">
        <f>"Unknown"</f>
        <v>Unknown</v>
      </c>
      <c r="B617" t="str">
        <f>"NPOC/TN"</f>
        <v>NPOC/TN</v>
      </c>
      <c r="C617" t="str">
        <f>"1147"</f>
        <v>1147</v>
      </c>
      <c r="D617" t="str">
        <f>"DI"</f>
        <v>DI</v>
      </c>
      <c r="E617" t="str">
        <f>"C:\TOC3201\Methods\Itamar\acid_sample.met"</f>
        <v>C:\TOC3201\Methods\Itamar\acid_sample.met</v>
      </c>
      <c r="F617" t="str">
        <f>"C:\TOC3201\CalCurves\Itamar\N_cal_25ppm_acid_laurel.2019_08_21_15_23_49.cal"</f>
        <v>C:\TOC3201\CalCurves\Itamar\N_cal_25ppm_acid_laurel.2019_08_21_15_23_49.cal</v>
      </c>
      <c r="G617">
        <v>1</v>
      </c>
      <c r="H617" t="str">
        <f>""</f>
        <v/>
      </c>
      <c r="I617" t="str">
        <f>"8/22/2019 6:44:19 PM"</f>
        <v>8/22/2019 6:44:19 PM</v>
      </c>
      <c r="J617" t="str">
        <f>"1"</f>
        <v>1</v>
      </c>
      <c r="K617" t="str">
        <f>"3"</f>
        <v>3</v>
      </c>
      <c r="L617" t="str">
        <f>"TN"</f>
        <v>TN</v>
      </c>
      <c r="M617" t="str">
        <f>"1.037"</f>
        <v>1.037</v>
      </c>
      <c r="N617" t="str">
        <f>"0.4388"</f>
        <v>0.4388</v>
      </c>
      <c r="O617" t="str">
        <f>"NPOC:6.327mg/L TN:0.4452mg/L"</f>
        <v>NPOC:6.327mg/L TN:0.4452mg/L</v>
      </c>
      <c r="P617">
        <v>0</v>
      </c>
      <c r="Q617" t="str">
        <f>"80"</f>
        <v>80</v>
      </c>
    </row>
    <row r="618" spans="1:17" x14ac:dyDescent="0.2">
      <c r="A618" t="str">
        <f>"Unknown"</f>
        <v>Unknown</v>
      </c>
      <c r="B618" t="str">
        <f>"NPOC/TN"</f>
        <v>NPOC/TN</v>
      </c>
      <c r="C618" t="str">
        <f>"1149"</f>
        <v>1149</v>
      </c>
      <c r="D618" t="str">
        <f>"DI"</f>
        <v>DI</v>
      </c>
      <c r="E618" t="str">
        <f>"C:\TOC3201\Methods\Itamar\acid_sample.met"</f>
        <v>C:\TOC3201\Methods\Itamar\acid_sample.met</v>
      </c>
      <c r="F618" t="str">
        <f>"C:\TOC3201\CalCurves\Itamar\C_cal_100ppm_acid_laurel.2019_08_21_13_17_46.cal"</f>
        <v>C:\TOC3201\CalCurves\Itamar\C_cal_100ppm_acid_laurel.2019_08_21_13_17_46.cal</v>
      </c>
      <c r="G618">
        <v>1</v>
      </c>
      <c r="H618" t="str">
        <f>""</f>
        <v/>
      </c>
      <c r="I618" t="str">
        <f>"8/22/2019 6:54:18 PM"</f>
        <v>8/22/2019 6:54:18 PM</v>
      </c>
      <c r="J618" t="str">
        <f>"1"</f>
        <v>1</v>
      </c>
      <c r="K618" t="str">
        <f>"1"</f>
        <v>1</v>
      </c>
      <c r="L618" t="str">
        <f>"NPOC"</f>
        <v>NPOC</v>
      </c>
      <c r="M618" t="str">
        <f>"29.80"</f>
        <v>29.80</v>
      </c>
      <c r="N618" t="str">
        <f>"5.768"</f>
        <v>5.768</v>
      </c>
      <c r="O618" t="str">
        <f>"NPOC:5.718mg/L TN:0.4603mg/L"</f>
        <v>NPOC:5.718mg/L TN:0.4603mg/L</v>
      </c>
      <c r="P618">
        <v>0</v>
      </c>
      <c r="Q618" t="str">
        <f>"80"</f>
        <v>80</v>
      </c>
    </row>
    <row r="619" spans="1:17" x14ac:dyDescent="0.2">
      <c r="A619" t="str">
        <f>"Unknown"</f>
        <v>Unknown</v>
      </c>
      <c r="B619" t="str">
        <f>"NPOC/TN"</f>
        <v>NPOC/TN</v>
      </c>
      <c r="C619" t="str">
        <f>"1149"</f>
        <v>1149</v>
      </c>
      <c r="D619" t="str">
        <f>"DI"</f>
        <v>DI</v>
      </c>
      <c r="E619" t="str">
        <f>"C:\TOC3201\Methods\Itamar\acid_sample.met"</f>
        <v>C:\TOC3201\Methods\Itamar\acid_sample.met</v>
      </c>
      <c r="F619" t="str">
        <f>"C:\TOC3201\CalCurves\Itamar\C_cal_100ppm_acid_laurel.2019_08_21_13_17_46.cal"</f>
        <v>C:\TOC3201\CalCurves\Itamar\C_cal_100ppm_acid_laurel.2019_08_21_13_17_46.cal</v>
      </c>
      <c r="G619">
        <v>1</v>
      </c>
      <c r="H619" t="str">
        <f>""</f>
        <v/>
      </c>
      <c r="I619" t="str">
        <f>"8/22/2019 6:57:41 PM"</f>
        <v>8/22/2019 6:57:41 PM</v>
      </c>
      <c r="J619" t="str">
        <f>"1"</f>
        <v>1</v>
      </c>
      <c r="K619" t="str">
        <f>"2"</f>
        <v>2</v>
      </c>
      <c r="L619" t="str">
        <f>"NPOC"</f>
        <v>NPOC</v>
      </c>
      <c r="M619" t="str">
        <f>"29.47"</f>
        <v>29.47</v>
      </c>
      <c r="N619" t="str">
        <f>"5.701"</f>
        <v>5.701</v>
      </c>
      <c r="O619" t="str">
        <f>"NPOC:5.718mg/L TN:0.4603mg/L"</f>
        <v>NPOC:5.718mg/L TN:0.4603mg/L</v>
      </c>
      <c r="P619">
        <v>0</v>
      </c>
      <c r="Q619" t="str">
        <f>"80"</f>
        <v>80</v>
      </c>
    </row>
    <row r="620" spans="1:17" x14ac:dyDescent="0.2">
      <c r="A620" t="str">
        <f>"Unknown"</f>
        <v>Unknown</v>
      </c>
      <c r="B620" t="str">
        <f>"NPOC/TN"</f>
        <v>NPOC/TN</v>
      </c>
      <c r="C620" t="str">
        <f>"1149"</f>
        <v>1149</v>
      </c>
      <c r="D620" t="str">
        <f>"DI"</f>
        <v>DI</v>
      </c>
      <c r="E620" t="str">
        <f>"C:\TOC3201\Methods\Itamar\acid_sample.met"</f>
        <v>C:\TOC3201\Methods\Itamar\acid_sample.met</v>
      </c>
      <c r="F620" t="str">
        <f>"C:\TOC3201\CalCurves\Itamar\C_cal_100ppm_acid_laurel.2019_08_21_13_17_46.cal"</f>
        <v>C:\TOC3201\CalCurves\Itamar\C_cal_100ppm_acid_laurel.2019_08_21_13_17_46.cal</v>
      </c>
      <c r="G620">
        <v>1</v>
      </c>
      <c r="H620" t="str">
        <f>""</f>
        <v/>
      </c>
      <c r="I620" t="str">
        <f>"8/22/2019 7:01:08 PM"</f>
        <v>8/22/2019 7:01:08 PM</v>
      </c>
      <c r="J620" t="str">
        <f>"1"</f>
        <v>1</v>
      </c>
      <c r="K620" t="str">
        <f>"3"</f>
        <v>3</v>
      </c>
      <c r="L620" t="str">
        <f>"NPOC"</f>
        <v>NPOC</v>
      </c>
      <c r="M620" t="str">
        <f>"31.01"</f>
        <v>31.01</v>
      </c>
      <c r="N620" t="str">
        <f>"6.015"</f>
        <v>6.015</v>
      </c>
      <c r="O620" t="str">
        <f>"NPOC:5.718mg/L TN:0.4603mg/L"</f>
        <v>NPOC:5.718mg/L TN:0.4603mg/L</v>
      </c>
      <c r="P620">
        <v>1</v>
      </c>
      <c r="Q620" t="str">
        <f>"80"</f>
        <v>80</v>
      </c>
    </row>
    <row r="621" spans="1:17" x14ac:dyDescent="0.2">
      <c r="A621" t="str">
        <f>"Unknown"</f>
        <v>Unknown</v>
      </c>
      <c r="B621" t="str">
        <f>"NPOC/TN"</f>
        <v>NPOC/TN</v>
      </c>
      <c r="C621" t="str">
        <f>"1149"</f>
        <v>1149</v>
      </c>
      <c r="D621" t="str">
        <f>"DI"</f>
        <v>DI</v>
      </c>
      <c r="E621" t="str">
        <f>"C:\TOC3201\Methods\Itamar\acid_sample.met"</f>
        <v>C:\TOC3201\Methods\Itamar\acid_sample.met</v>
      </c>
      <c r="F621" t="str">
        <f>"C:\TOC3201\CalCurves\Itamar\C_cal_100ppm_acid_laurel.2019_08_21_13_17_46.cal"</f>
        <v>C:\TOC3201\CalCurves\Itamar\C_cal_100ppm_acid_laurel.2019_08_21_13_17_46.cal</v>
      </c>
      <c r="G621">
        <v>1</v>
      </c>
      <c r="H621" t="str">
        <f>""</f>
        <v/>
      </c>
      <c r="I621" t="str">
        <f>"8/22/2019 7:05:47 PM"</f>
        <v>8/22/2019 7:05:47 PM</v>
      </c>
      <c r="J621" t="str">
        <f>"1"</f>
        <v>1</v>
      </c>
      <c r="K621" t="str">
        <f>"4"</f>
        <v>4</v>
      </c>
      <c r="L621" t="str">
        <f>"NPOC"</f>
        <v>NPOC</v>
      </c>
      <c r="M621" t="str">
        <f>"31.02"</f>
        <v>31.02</v>
      </c>
      <c r="N621" t="str">
        <f>"6.017"</f>
        <v>6.017</v>
      </c>
      <c r="O621" t="str">
        <f>"NPOC:5.718mg/L TN:0.4603mg/L"</f>
        <v>NPOC:5.718mg/L TN:0.4603mg/L</v>
      </c>
      <c r="P621">
        <v>1</v>
      </c>
      <c r="Q621" t="str">
        <f>"80"</f>
        <v>80</v>
      </c>
    </row>
    <row r="622" spans="1:17" x14ac:dyDescent="0.2">
      <c r="A622" t="str">
        <f>"Unknown"</f>
        <v>Unknown</v>
      </c>
      <c r="B622" t="str">
        <f>"NPOC/TN"</f>
        <v>NPOC/TN</v>
      </c>
      <c r="C622" t="str">
        <f>"1149"</f>
        <v>1149</v>
      </c>
      <c r="D622" t="str">
        <f>"DI"</f>
        <v>DI</v>
      </c>
      <c r="E622" t="str">
        <f>"C:\TOC3201\Methods\Itamar\acid_sample.met"</f>
        <v>C:\TOC3201\Methods\Itamar\acid_sample.met</v>
      </c>
      <c r="F622" t="str">
        <f>"C:\TOC3201\CalCurves\Itamar\C_cal_100ppm_acid_laurel.2019_08_21_13_17_46.cal"</f>
        <v>C:\TOC3201\CalCurves\Itamar\C_cal_100ppm_acid_laurel.2019_08_21_13_17_46.cal</v>
      </c>
      <c r="G622">
        <v>1</v>
      </c>
      <c r="H622" t="str">
        <f>""</f>
        <v/>
      </c>
      <c r="I622" t="str">
        <f>"8/22/2019 7:09:09 PM"</f>
        <v>8/22/2019 7:09:09 PM</v>
      </c>
      <c r="J622" t="str">
        <f>"1"</f>
        <v>1</v>
      </c>
      <c r="K622" t="str">
        <f>"5"</f>
        <v>5</v>
      </c>
      <c r="L622" t="str">
        <f>"NPOC"</f>
        <v>NPOC</v>
      </c>
      <c r="M622" t="str">
        <f>"29.39"</f>
        <v>29.39</v>
      </c>
      <c r="N622" t="str">
        <f>"5.684"</f>
        <v>5.684</v>
      </c>
      <c r="O622" t="str">
        <f>"NPOC:5.718mg/L TN:0.4603mg/L"</f>
        <v>NPOC:5.718mg/L TN:0.4603mg/L</v>
      </c>
      <c r="P622">
        <v>0</v>
      </c>
      <c r="Q622" t="str">
        <f>"80"</f>
        <v>80</v>
      </c>
    </row>
    <row r="623" spans="1:17" x14ac:dyDescent="0.2">
      <c r="A623" t="str">
        <f>"Unknown"</f>
        <v>Unknown</v>
      </c>
      <c r="B623" t="str">
        <f>"NPOC/TN"</f>
        <v>NPOC/TN</v>
      </c>
      <c r="C623" t="str">
        <f>"1149"</f>
        <v>1149</v>
      </c>
      <c r="D623" t="str">
        <f>"DI"</f>
        <v>DI</v>
      </c>
      <c r="E623" t="str">
        <f>"C:\TOC3201\Methods\Itamar\acid_sample.met"</f>
        <v>C:\TOC3201\Methods\Itamar\acid_sample.met</v>
      </c>
      <c r="F623" t="str">
        <f>"C:\TOC3201\CalCurves\Itamar\N_cal_25ppm_acid_laurel.2019_08_21_15_23_49.cal"</f>
        <v>C:\TOC3201\CalCurves\Itamar\N_cal_25ppm_acid_laurel.2019_08_21_15_23_49.cal</v>
      </c>
      <c r="G623">
        <v>1</v>
      </c>
      <c r="H623" t="str">
        <f>""</f>
        <v/>
      </c>
      <c r="I623" t="str">
        <f>"8/22/2019 6:54:18 PM"</f>
        <v>8/22/2019 6:54:18 PM</v>
      </c>
      <c r="J623" t="str">
        <f>"1"</f>
        <v>1</v>
      </c>
      <c r="K623" t="str">
        <f>"1"</f>
        <v>1</v>
      </c>
      <c r="L623" t="str">
        <f>"TN"</f>
        <v>TN</v>
      </c>
      <c r="M623" t="str">
        <f>"0.000"</f>
        <v>0.000</v>
      </c>
      <c r="N623" t="str">
        <f>"0.1544"</f>
        <v>0.1544</v>
      </c>
      <c r="O623" t="str">
        <f>"NPOC:5.718mg/L TN:0.4603mg/L"</f>
        <v>NPOC:5.718mg/L TN:0.4603mg/L</v>
      </c>
      <c r="P623">
        <v>1</v>
      </c>
      <c r="Q623" t="str">
        <f>"80"</f>
        <v>80</v>
      </c>
    </row>
    <row r="624" spans="1:17" x14ac:dyDescent="0.2">
      <c r="A624" t="str">
        <f>"Unknown"</f>
        <v>Unknown</v>
      </c>
      <c r="B624" t="str">
        <f>"NPOC/TN"</f>
        <v>NPOC/TN</v>
      </c>
      <c r="C624" t="str">
        <f>"1149"</f>
        <v>1149</v>
      </c>
      <c r="D624" t="str">
        <f>"DI"</f>
        <v>DI</v>
      </c>
      <c r="E624" t="str">
        <f>"C:\TOC3201\Methods\Itamar\acid_sample.met"</f>
        <v>C:\TOC3201\Methods\Itamar\acid_sample.met</v>
      </c>
      <c r="F624" t="str">
        <f>"C:\TOC3201\CalCurves\Itamar\N_cal_25ppm_acid_laurel.2019_08_21_15_23_49.cal"</f>
        <v>C:\TOC3201\CalCurves\Itamar\N_cal_25ppm_acid_laurel.2019_08_21_15_23_49.cal</v>
      </c>
      <c r="G624">
        <v>1</v>
      </c>
      <c r="H624" t="str">
        <f>""</f>
        <v/>
      </c>
      <c r="I624" t="str">
        <f>"8/22/2019 6:57:41 PM"</f>
        <v>8/22/2019 6:57:41 PM</v>
      </c>
      <c r="J624" t="str">
        <f>"1"</f>
        <v>1</v>
      </c>
      <c r="K624" t="str">
        <f>"2"</f>
        <v>2</v>
      </c>
      <c r="L624" t="str">
        <f>"TN"</f>
        <v>TN</v>
      </c>
      <c r="M624" t="str">
        <f>"0.9041"</f>
        <v>0.9041</v>
      </c>
      <c r="N624" t="str">
        <f>"0.4024"</f>
        <v>0.4024</v>
      </c>
      <c r="O624" t="str">
        <f>"NPOC:5.718mg/L TN:0.4603mg/L"</f>
        <v>NPOC:5.718mg/L TN:0.4603mg/L</v>
      </c>
      <c r="P624">
        <v>0</v>
      </c>
      <c r="Q624" t="str">
        <f>"80"</f>
        <v>80</v>
      </c>
    </row>
    <row r="625" spans="1:17" x14ac:dyDescent="0.2">
      <c r="A625" t="str">
        <f>"Unknown"</f>
        <v>Unknown</v>
      </c>
      <c r="B625" t="str">
        <f>"NPOC/TN"</f>
        <v>NPOC/TN</v>
      </c>
      <c r="C625" t="str">
        <f>"1149"</f>
        <v>1149</v>
      </c>
      <c r="D625" t="str">
        <f>"DI"</f>
        <v>DI</v>
      </c>
      <c r="E625" t="str">
        <f>"C:\TOC3201\Methods\Itamar\acid_sample.met"</f>
        <v>C:\TOC3201\Methods\Itamar\acid_sample.met</v>
      </c>
      <c r="F625" t="str">
        <f>"C:\TOC3201\CalCurves\Itamar\N_cal_25ppm_acid_laurel.2019_08_21_15_23_49.cal"</f>
        <v>C:\TOC3201\CalCurves\Itamar\N_cal_25ppm_acid_laurel.2019_08_21_15_23_49.cal</v>
      </c>
      <c r="G625">
        <v>1</v>
      </c>
      <c r="H625" t="str">
        <f>""</f>
        <v/>
      </c>
      <c r="I625" t="str">
        <f>"8/22/2019 7:01:08 PM"</f>
        <v>8/22/2019 7:01:08 PM</v>
      </c>
      <c r="J625" t="str">
        <f>"1"</f>
        <v>1</v>
      </c>
      <c r="K625" t="str">
        <f>"3"</f>
        <v>3</v>
      </c>
      <c r="L625" t="str">
        <f>"TN"</f>
        <v>TN</v>
      </c>
      <c r="M625" t="str">
        <f>"1.149"</f>
        <v>1.149</v>
      </c>
      <c r="N625" t="str">
        <f>"0.4695"</f>
        <v>0.4695</v>
      </c>
      <c r="O625" t="str">
        <f>"NPOC:5.718mg/L TN:0.4603mg/L"</f>
        <v>NPOC:5.718mg/L TN:0.4603mg/L</v>
      </c>
      <c r="P625">
        <v>0</v>
      </c>
      <c r="Q625" t="str">
        <f>"80"</f>
        <v>80</v>
      </c>
    </row>
    <row r="626" spans="1:17" x14ac:dyDescent="0.2">
      <c r="A626" t="str">
        <f>"Unknown"</f>
        <v>Unknown</v>
      </c>
      <c r="B626" t="str">
        <f>"NPOC/TN"</f>
        <v>NPOC/TN</v>
      </c>
      <c r="C626" t="str">
        <f>"1149"</f>
        <v>1149</v>
      </c>
      <c r="D626" t="str">
        <f>"DI"</f>
        <v>DI</v>
      </c>
      <c r="E626" t="str">
        <f>"C:\TOC3201\Methods\Itamar\acid_sample.met"</f>
        <v>C:\TOC3201\Methods\Itamar\acid_sample.met</v>
      </c>
      <c r="F626" t="str">
        <f>"C:\TOC3201\CalCurves\Itamar\N_cal_25ppm_acid_laurel.2019_08_21_15_23_49.cal"</f>
        <v>C:\TOC3201\CalCurves\Itamar\N_cal_25ppm_acid_laurel.2019_08_21_15_23_49.cal</v>
      </c>
      <c r="G626">
        <v>1</v>
      </c>
      <c r="H626" t="str">
        <f>""</f>
        <v/>
      </c>
      <c r="I626" t="str">
        <f>"8/22/2019 7:05:47 PM"</f>
        <v>8/22/2019 7:05:47 PM</v>
      </c>
      <c r="J626" t="str">
        <f>"1"</f>
        <v>1</v>
      </c>
      <c r="K626" t="str">
        <f>"4"</f>
        <v>4</v>
      </c>
      <c r="L626" t="str">
        <f>"TN"</f>
        <v>TN</v>
      </c>
      <c r="M626" t="str">
        <f>"1.809"</f>
        <v>1.809</v>
      </c>
      <c r="N626" t="str">
        <f>"0.6505"</f>
        <v>0.6505</v>
      </c>
      <c r="O626" t="str">
        <f>"NPOC:5.718mg/L TN:0.4603mg/L"</f>
        <v>NPOC:5.718mg/L TN:0.4603mg/L</v>
      </c>
      <c r="P626">
        <v>1</v>
      </c>
      <c r="Q626" t="str">
        <f>"80"</f>
        <v>80</v>
      </c>
    </row>
    <row r="627" spans="1:17" x14ac:dyDescent="0.2">
      <c r="A627" t="str">
        <f>"Unknown"</f>
        <v>Unknown</v>
      </c>
      <c r="B627" t="str">
        <f>"NPOC/TN"</f>
        <v>NPOC/TN</v>
      </c>
      <c r="C627" t="str">
        <f>"1149"</f>
        <v>1149</v>
      </c>
      <c r="D627" t="str">
        <f>"DI"</f>
        <v>DI</v>
      </c>
      <c r="E627" t="str">
        <f>"C:\TOC3201\Methods\Itamar\acid_sample.met"</f>
        <v>C:\TOC3201\Methods\Itamar\acid_sample.met</v>
      </c>
      <c r="F627" t="str">
        <f>"C:\TOC3201\CalCurves\Itamar\N_cal_25ppm_acid_laurel.2019_08_21_15_23_49.cal"</f>
        <v>C:\TOC3201\CalCurves\Itamar\N_cal_25ppm_acid_laurel.2019_08_21_15_23_49.cal</v>
      </c>
      <c r="G627">
        <v>1</v>
      </c>
      <c r="H627" t="str">
        <f>""</f>
        <v/>
      </c>
      <c r="I627" t="str">
        <f>"8/22/2019 7:09:09 PM"</f>
        <v>8/22/2019 7:09:09 PM</v>
      </c>
      <c r="J627" t="str">
        <f>"1"</f>
        <v>1</v>
      </c>
      <c r="K627" t="str">
        <f>"5"</f>
        <v>5</v>
      </c>
      <c r="L627" t="str">
        <f>"TN"</f>
        <v>TN</v>
      </c>
      <c r="M627" t="str">
        <f>"1.293"</f>
        <v>1.293</v>
      </c>
      <c r="N627" t="str">
        <f>"0.5090"</f>
        <v>0.5090</v>
      </c>
      <c r="O627" t="str">
        <f>"NPOC:5.718mg/L TN:0.4603mg/L"</f>
        <v>NPOC:5.718mg/L TN:0.4603mg/L</v>
      </c>
      <c r="P627">
        <v>0</v>
      </c>
      <c r="Q627" t="str">
        <f>"80"</f>
        <v>80</v>
      </c>
    </row>
    <row r="628" spans="1:17" x14ac:dyDescent="0.2">
      <c r="A628" t="str">
        <f>"Unknown"</f>
        <v>Unknown</v>
      </c>
      <c r="B628" t="str">
        <f>"NPOC/TN"</f>
        <v>NPOC/TN</v>
      </c>
      <c r="C628" t="str">
        <f>"1151"</f>
        <v>1151</v>
      </c>
      <c r="D628" t="str">
        <f>"DI"</f>
        <v>DI</v>
      </c>
      <c r="E628" t="str">
        <f>"C:\TOC3201\Methods\Itamar\acid_sample.met"</f>
        <v>C:\TOC3201\Methods\Itamar\acid_sample.met</v>
      </c>
      <c r="F628" t="str">
        <f>"C:\TOC3201\CalCurves\Itamar\C_cal_100ppm_acid_laurel.2019_08_21_13_17_46.cal"</f>
        <v>C:\TOC3201\CalCurves\Itamar\C_cal_100ppm_acid_laurel.2019_08_21_13_17_46.cal</v>
      </c>
      <c r="G628">
        <v>1</v>
      </c>
      <c r="H628" t="str">
        <f>""</f>
        <v/>
      </c>
      <c r="I628" t="str">
        <f>"8/22/2019 7:19:03 PM"</f>
        <v>8/22/2019 7:19:03 PM</v>
      </c>
      <c r="J628" t="str">
        <f>"1"</f>
        <v>1</v>
      </c>
      <c r="K628" t="str">
        <f>"1"</f>
        <v>1</v>
      </c>
      <c r="L628" t="str">
        <f>"NPOC"</f>
        <v>NPOC</v>
      </c>
      <c r="M628" t="str">
        <f>"31.95"</f>
        <v>31.95</v>
      </c>
      <c r="N628" t="str">
        <f>"6.208"</f>
        <v>6.208</v>
      </c>
      <c r="O628" t="str">
        <f>"NPOC:6.257mg/L TN:0.4233mg/L"</f>
        <v>NPOC:6.257mg/L TN:0.4233mg/L</v>
      </c>
      <c r="P628">
        <v>0</v>
      </c>
      <c r="Q628" t="str">
        <f>"80"</f>
        <v>80</v>
      </c>
    </row>
    <row r="629" spans="1:17" x14ac:dyDescent="0.2">
      <c r="A629" t="str">
        <f>"Unknown"</f>
        <v>Unknown</v>
      </c>
      <c r="B629" t="str">
        <f>"NPOC/TN"</f>
        <v>NPOC/TN</v>
      </c>
      <c r="C629" t="str">
        <f>"1151"</f>
        <v>1151</v>
      </c>
      <c r="D629" t="str">
        <f>"DI"</f>
        <v>DI</v>
      </c>
      <c r="E629" t="str">
        <f>"C:\TOC3201\Methods\Itamar\acid_sample.met"</f>
        <v>C:\TOC3201\Methods\Itamar\acid_sample.met</v>
      </c>
      <c r="F629" t="str">
        <f>"C:\TOC3201\CalCurves\Itamar\C_cal_100ppm_acid_laurel.2019_08_21_13_17_46.cal"</f>
        <v>C:\TOC3201\CalCurves\Itamar\C_cal_100ppm_acid_laurel.2019_08_21_13_17_46.cal</v>
      </c>
      <c r="G629">
        <v>1</v>
      </c>
      <c r="H629" t="str">
        <f>""</f>
        <v/>
      </c>
      <c r="I629" t="str">
        <f>"8/22/2019 7:22:33 PM"</f>
        <v>8/22/2019 7:22:33 PM</v>
      </c>
      <c r="J629" t="str">
        <f>"1"</f>
        <v>1</v>
      </c>
      <c r="K629" t="str">
        <f>"2"</f>
        <v>2</v>
      </c>
      <c r="L629" t="str">
        <f>"NPOC"</f>
        <v>NPOC</v>
      </c>
      <c r="M629" t="str">
        <f>"32.17"</f>
        <v>32.17</v>
      </c>
      <c r="N629" t="str">
        <f>"6.253"</f>
        <v>6.253</v>
      </c>
      <c r="O629" t="str">
        <f>"NPOC:6.257mg/L TN:0.4233mg/L"</f>
        <v>NPOC:6.257mg/L TN:0.4233mg/L</v>
      </c>
      <c r="P629">
        <v>0</v>
      </c>
      <c r="Q629" t="str">
        <f>"80"</f>
        <v>80</v>
      </c>
    </row>
    <row r="630" spans="1:17" x14ac:dyDescent="0.2">
      <c r="A630" t="str">
        <f>"Unknown"</f>
        <v>Unknown</v>
      </c>
      <c r="B630" t="str">
        <f>"NPOC/TN"</f>
        <v>NPOC/TN</v>
      </c>
      <c r="C630" t="str">
        <f>"1151"</f>
        <v>1151</v>
      </c>
      <c r="D630" t="str">
        <f>"DI"</f>
        <v>DI</v>
      </c>
      <c r="E630" t="str">
        <f>"C:\TOC3201\Methods\Itamar\acid_sample.met"</f>
        <v>C:\TOC3201\Methods\Itamar\acid_sample.met</v>
      </c>
      <c r="F630" t="str">
        <f>"C:\TOC3201\CalCurves\Itamar\C_cal_100ppm_acid_laurel.2019_08_21_13_17_46.cal"</f>
        <v>C:\TOC3201\CalCurves\Itamar\C_cal_100ppm_acid_laurel.2019_08_21_13_17_46.cal</v>
      </c>
      <c r="G630">
        <v>1</v>
      </c>
      <c r="H630" t="str">
        <f>""</f>
        <v/>
      </c>
      <c r="I630" t="str">
        <f>"8/22/2019 7:26:39 PM"</f>
        <v>8/22/2019 7:26:39 PM</v>
      </c>
      <c r="J630" t="str">
        <f>"1"</f>
        <v>1</v>
      </c>
      <c r="K630" t="str">
        <f>"3"</f>
        <v>3</v>
      </c>
      <c r="L630" t="str">
        <f>"NPOC"</f>
        <v>NPOC</v>
      </c>
      <c r="M630" t="str">
        <f>"33.65"</f>
        <v>33.65</v>
      </c>
      <c r="N630" t="str">
        <f>"6.555"</f>
        <v>6.555</v>
      </c>
      <c r="O630" t="str">
        <f>"NPOC:6.257mg/L TN:0.4233mg/L"</f>
        <v>NPOC:6.257mg/L TN:0.4233mg/L</v>
      </c>
      <c r="P630">
        <v>1</v>
      </c>
      <c r="Q630" t="str">
        <f>"80"</f>
        <v>80</v>
      </c>
    </row>
    <row r="631" spans="1:17" x14ac:dyDescent="0.2">
      <c r="A631" t="str">
        <f>"Unknown"</f>
        <v>Unknown</v>
      </c>
      <c r="B631" t="str">
        <f>"NPOC/TN"</f>
        <v>NPOC/TN</v>
      </c>
      <c r="C631" t="str">
        <f>"1151"</f>
        <v>1151</v>
      </c>
      <c r="D631" t="str">
        <f>"DI"</f>
        <v>DI</v>
      </c>
      <c r="E631" t="str">
        <f>"C:\TOC3201\Methods\Itamar\acid_sample.met"</f>
        <v>C:\TOC3201\Methods\Itamar\acid_sample.met</v>
      </c>
      <c r="F631" t="str">
        <f>"C:\TOC3201\CalCurves\Itamar\C_cal_100ppm_acid_laurel.2019_08_21_13_17_46.cal"</f>
        <v>C:\TOC3201\CalCurves\Itamar\C_cal_100ppm_acid_laurel.2019_08_21_13_17_46.cal</v>
      </c>
      <c r="G631">
        <v>1</v>
      </c>
      <c r="H631" t="str">
        <f>""</f>
        <v/>
      </c>
      <c r="I631" t="str">
        <f>"8/22/2019 7:30:07 PM"</f>
        <v>8/22/2019 7:30:07 PM</v>
      </c>
      <c r="J631" t="str">
        <f>"1"</f>
        <v>1</v>
      </c>
      <c r="K631" t="str">
        <f>"4"</f>
        <v>4</v>
      </c>
      <c r="L631" t="str">
        <f>"NPOC"</f>
        <v>NPOC</v>
      </c>
      <c r="M631" t="str">
        <f>"32.45"</f>
        <v>32.45</v>
      </c>
      <c r="N631" t="str">
        <f>"6.310"</f>
        <v>6.310</v>
      </c>
      <c r="O631" t="str">
        <f>"NPOC:6.257mg/L TN:0.4233mg/L"</f>
        <v>NPOC:6.257mg/L TN:0.4233mg/L</v>
      </c>
      <c r="P631">
        <v>0</v>
      </c>
      <c r="Q631" t="str">
        <f>"80"</f>
        <v>80</v>
      </c>
    </row>
    <row r="632" spans="1:17" x14ac:dyDescent="0.2">
      <c r="A632" t="str">
        <f>"Unknown"</f>
        <v>Unknown</v>
      </c>
      <c r="B632" t="str">
        <f>"NPOC/TN"</f>
        <v>NPOC/TN</v>
      </c>
      <c r="C632" t="str">
        <f>"1151"</f>
        <v>1151</v>
      </c>
      <c r="D632" t="str">
        <f>"DI"</f>
        <v>DI</v>
      </c>
      <c r="E632" t="str">
        <f>"C:\TOC3201\Methods\Itamar\acid_sample.met"</f>
        <v>C:\TOC3201\Methods\Itamar\acid_sample.met</v>
      </c>
      <c r="F632" t="str">
        <f>"C:\TOC3201\CalCurves\Itamar\N_cal_25ppm_acid_laurel.2019_08_21_15_23_49.cal"</f>
        <v>C:\TOC3201\CalCurves\Itamar\N_cal_25ppm_acid_laurel.2019_08_21_15_23_49.cal</v>
      </c>
      <c r="G632">
        <v>1</v>
      </c>
      <c r="H632" t="str">
        <f>""</f>
        <v/>
      </c>
      <c r="I632" t="str">
        <f>"8/22/2019 7:19:03 PM"</f>
        <v>8/22/2019 7:19:03 PM</v>
      </c>
      <c r="J632" t="str">
        <f>"1"</f>
        <v>1</v>
      </c>
      <c r="K632" t="str">
        <f>"1"</f>
        <v>1</v>
      </c>
      <c r="L632" t="str">
        <f>"TN"</f>
        <v>TN</v>
      </c>
      <c r="M632" t="str">
        <f>"0.9210"</f>
        <v>0.9210</v>
      </c>
      <c r="N632" t="str">
        <f>"0.4070"</f>
        <v>0.4070</v>
      </c>
      <c r="O632" t="str">
        <f>"NPOC:6.257mg/L TN:0.4233mg/L"</f>
        <v>NPOC:6.257mg/L TN:0.4233mg/L</v>
      </c>
      <c r="P632">
        <v>0</v>
      </c>
      <c r="Q632" t="str">
        <f>"80"</f>
        <v>80</v>
      </c>
    </row>
    <row r="633" spans="1:17" x14ac:dyDescent="0.2">
      <c r="A633" t="str">
        <f>"Unknown"</f>
        <v>Unknown</v>
      </c>
      <c r="B633" t="str">
        <f>"NPOC/TN"</f>
        <v>NPOC/TN</v>
      </c>
      <c r="C633" t="str">
        <f>"1151"</f>
        <v>1151</v>
      </c>
      <c r="D633" t="str">
        <f>"DI"</f>
        <v>DI</v>
      </c>
      <c r="E633" t="str">
        <f>"C:\TOC3201\Methods\Itamar\acid_sample.met"</f>
        <v>C:\TOC3201\Methods\Itamar\acid_sample.met</v>
      </c>
      <c r="F633" t="str">
        <f>"C:\TOC3201\CalCurves\Itamar\N_cal_25ppm_acid_laurel.2019_08_21_15_23_49.cal"</f>
        <v>C:\TOC3201\CalCurves\Itamar\N_cal_25ppm_acid_laurel.2019_08_21_15_23_49.cal</v>
      </c>
      <c r="G633">
        <v>1</v>
      </c>
      <c r="H633" t="str">
        <f>""</f>
        <v/>
      </c>
      <c r="I633" t="str">
        <f>"8/22/2019 7:22:33 PM"</f>
        <v>8/22/2019 7:22:33 PM</v>
      </c>
      <c r="J633" t="str">
        <f>"1"</f>
        <v>1</v>
      </c>
      <c r="K633" t="str">
        <f>"2"</f>
        <v>2</v>
      </c>
      <c r="L633" t="str">
        <f>"TN"</f>
        <v>TN</v>
      </c>
      <c r="M633" t="str">
        <f>"0.9480"</f>
        <v>0.9480</v>
      </c>
      <c r="N633" t="str">
        <f>"0.4144"</f>
        <v>0.4144</v>
      </c>
      <c r="O633" t="str">
        <f>"NPOC:6.257mg/L TN:0.4233mg/L"</f>
        <v>NPOC:6.257mg/L TN:0.4233mg/L</v>
      </c>
      <c r="P633">
        <v>0</v>
      </c>
      <c r="Q633" t="str">
        <f>"80"</f>
        <v>80</v>
      </c>
    </row>
    <row r="634" spans="1:17" x14ac:dyDescent="0.2">
      <c r="A634" t="str">
        <f>"Unknown"</f>
        <v>Unknown</v>
      </c>
      <c r="B634" t="str">
        <f>"NPOC/TN"</f>
        <v>NPOC/TN</v>
      </c>
      <c r="C634" t="str">
        <f>"1151"</f>
        <v>1151</v>
      </c>
      <c r="D634" t="str">
        <f>"DI"</f>
        <v>DI</v>
      </c>
      <c r="E634" t="str">
        <f>"C:\TOC3201\Methods\Itamar\acid_sample.met"</f>
        <v>C:\TOC3201\Methods\Itamar\acid_sample.met</v>
      </c>
      <c r="F634" t="str">
        <f>"C:\TOC3201\CalCurves\Itamar\N_cal_25ppm_acid_laurel.2019_08_21_15_23_49.cal"</f>
        <v>C:\TOC3201\CalCurves\Itamar\N_cal_25ppm_acid_laurel.2019_08_21_15_23_49.cal</v>
      </c>
      <c r="G634">
        <v>1</v>
      </c>
      <c r="H634" t="str">
        <f>""</f>
        <v/>
      </c>
      <c r="I634" t="str">
        <f>"8/22/2019 7:26:39 PM"</f>
        <v>8/22/2019 7:26:39 PM</v>
      </c>
      <c r="J634" t="str">
        <f>"1"</f>
        <v>1</v>
      </c>
      <c r="K634" t="str">
        <f>"3"</f>
        <v>3</v>
      </c>
      <c r="L634" t="str">
        <f>"TN"</f>
        <v>TN</v>
      </c>
      <c r="M634" t="str">
        <f>"1.072"</f>
        <v>1.072</v>
      </c>
      <c r="N634" t="str">
        <f>"0.4484"</f>
        <v>0.4484</v>
      </c>
      <c r="O634" t="str">
        <f>"NPOC:6.257mg/L TN:0.4233mg/L"</f>
        <v>NPOC:6.257mg/L TN:0.4233mg/L</v>
      </c>
      <c r="P634">
        <v>0</v>
      </c>
      <c r="Q634" t="str">
        <f>"80"</f>
        <v>80</v>
      </c>
    </row>
    <row r="635" spans="1:17" x14ac:dyDescent="0.2">
      <c r="A635" t="str">
        <f>"Unknown"</f>
        <v>Unknown</v>
      </c>
      <c r="B635" t="str">
        <f>"NPOC/TN"</f>
        <v>NPOC/TN</v>
      </c>
      <c r="C635" t="str">
        <f>"1153"</f>
        <v>1153</v>
      </c>
      <c r="D635" t="str">
        <f>"DI"</f>
        <v>DI</v>
      </c>
      <c r="E635" t="str">
        <f>"C:\TOC3201\Methods\Itamar\acid_sample.met"</f>
        <v>C:\TOC3201\Methods\Itamar\acid_sample.met</v>
      </c>
      <c r="F635" t="str">
        <f>"C:\TOC3201\CalCurves\Itamar\C_cal_100ppm_acid_laurel.2019_08_21_13_17_46.cal"</f>
        <v>C:\TOC3201\CalCurves\Itamar\C_cal_100ppm_acid_laurel.2019_08_21_13_17_46.cal</v>
      </c>
      <c r="G635">
        <v>1</v>
      </c>
      <c r="H635" t="str">
        <f>""</f>
        <v/>
      </c>
      <c r="I635" t="str">
        <f>"8/22/2019 7:40:26 PM"</f>
        <v>8/22/2019 7:40:26 PM</v>
      </c>
      <c r="J635" t="str">
        <f>"1"</f>
        <v>1</v>
      </c>
      <c r="K635" t="str">
        <f>"1"</f>
        <v>1</v>
      </c>
      <c r="L635" t="str">
        <f>"NPOC"</f>
        <v>NPOC</v>
      </c>
      <c r="M635" t="str">
        <f>"44.77"</f>
        <v>44.77</v>
      </c>
      <c r="N635" t="str">
        <f>"8.829"</f>
        <v>8.829</v>
      </c>
      <c r="O635" t="str">
        <f>"NPOC:8.263mg/L TN:0.9942mg/L"</f>
        <v>NPOC:8.263mg/L TN:0.9942mg/L</v>
      </c>
      <c r="P635">
        <v>1</v>
      </c>
      <c r="Q635" t="str">
        <f>"80"</f>
        <v>80</v>
      </c>
    </row>
    <row r="636" spans="1:17" x14ac:dyDescent="0.2">
      <c r="A636" t="str">
        <f>"Unknown"</f>
        <v>Unknown</v>
      </c>
      <c r="B636" t="str">
        <f>"NPOC/TN"</f>
        <v>NPOC/TN</v>
      </c>
      <c r="C636" t="str">
        <f>"1153"</f>
        <v>1153</v>
      </c>
      <c r="D636" t="str">
        <f>"DI"</f>
        <v>DI</v>
      </c>
      <c r="E636" t="str">
        <f>"C:\TOC3201\Methods\Itamar\acid_sample.met"</f>
        <v>C:\TOC3201\Methods\Itamar\acid_sample.met</v>
      </c>
      <c r="F636" t="str">
        <f>"C:\TOC3201\CalCurves\Itamar\C_cal_100ppm_acid_laurel.2019_08_21_13_17_46.cal"</f>
        <v>C:\TOC3201\CalCurves\Itamar\C_cal_100ppm_acid_laurel.2019_08_21_13_17_46.cal</v>
      </c>
      <c r="G636">
        <v>1</v>
      </c>
      <c r="H636" t="str">
        <f>""</f>
        <v/>
      </c>
      <c r="I636" t="str">
        <f>"8/22/2019 7:43:56 PM"</f>
        <v>8/22/2019 7:43:56 PM</v>
      </c>
      <c r="J636" t="str">
        <f>"1"</f>
        <v>1</v>
      </c>
      <c r="K636" t="str">
        <f>"2"</f>
        <v>2</v>
      </c>
      <c r="L636" t="str">
        <f>"NPOC"</f>
        <v>NPOC</v>
      </c>
      <c r="M636" t="str">
        <f>"40.95"</f>
        <v>40.95</v>
      </c>
      <c r="N636" t="str">
        <f>"8.048"</f>
        <v>8.048</v>
      </c>
      <c r="O636" t="str">
        <f>"NPOC:8.263mg/L TN:0.9942mg/L"</f>
        <v>NPOC:8.263mg/L TN:0.9942mg/L</v>
      </c>
      <c r="P636">
        <v>0</v>
      </c>
      <c r="Q636" t="str">
        <f>"80"</f>
        <v>80</v>
      </c>
    </row>
    <row r="637" spans="1:17" x14ac:dyDescent="0.2">
      <c r="A637" t="str">
        <f>"Unknown"</f>
        <v>Unknown</v>
      </c>
      <c r="B637" t="str">
        <f>"NPOC/TN"</f>
        <v>NPOC/TN</v>
      </c>
      <c r="C637" t="str">
        <f>"1153"</f>
        <v>1153</v>
      </c>
      <c r="D637" t="str">
        <f>"DI"</f>
        <v>DI</v>
      </c>
      <c r="E637" t="str">
        <f>"C:\TOC3201\Methods\Itamar\acid_sample.met"</f>
        <v>C:\TOC3201\Methods\Itamar\acid_sample.met</v>
      </c>
      <c r="F637" t="str">
        <f>"C:\TOC3201\CalCurves\Itamar\C_cal_100ppm_acid_laurel.2019_08_21_13_17_46.cal"</f>
        <v>C:\TOC3201\CalCurves\Itamar\C_cal_100ppm_acid_laurel.2019_08_21_13_17_46.cal</v>
      </c>
      <c r="G637">
        <v>1</v>
      </c>
      <c r="H637" t="str">
        <f>""</f>
        <v/>
      </c>
      <c r="I637" t="str">
        <f>"8/22/2019 7:47:25 PM"</f>
        <v>8/22/2019 7:47:25 PM</v>
      </c>
      <c r="J637" t="str">
        <f>"1"</f>
        <v>1</v>
      </c>
      <c r="K637" t="str">
        <f>"3"</f>
        <v>3</v>
      </c>
      <c r="L637" t="str">
        <f>"NPOC"</f>
        <v>NPOC</v>
      </c>
      <c r="M637" t="str">
        <f>"42.42"</f>
        <v>42.42</v>
      </c>
      <c r="N637" t="str">
        <f>"8.348"</f>
        <v>8.348</v>
      </c>
      <c r="O637" t="str">
        <f>"NPOC:8.263mg/L TN:0.9942mg/L"</f>
        <v>NPOC:8.263mg/L TN:0.9942mg/L</v>
      </c>
      <c r="P637">
        <v>0</v>
      </c>
      <c r="Q637" t="str">
        <f>"80"</f>
        <v>80</v>
      </c>
    </row>
    <row r="638" spans="1:17" x14ac:dyDescent="0.2">
      <c r="A638" t="str">
        <f>"Unknown"</f>
        <v>Unknown</v>
      </c>
      <c r="B638" t="str">
        <f>"NPOC/TN"</f>
        <v>NPOC/TN</v>
      </c>
      <c r="C638" t="str">
        <f>"1153"</f>
        <v>1153</v>
      </c>
      <c r="D638" t="str">
        <f>"DI"</f>
        <v>DI</v>
      </c>
      <c r="E638" t="str">
        <f>"C:\TOC3201\Methods\Itamar\acid_sample.met"</f>
        <v>C:\TOC3201\Methods\Itamar\acid_sample.met</v>
      </c>
      <c r="F638" t="str">
        <f>"C:\TOC3201\CalCurves\Itamar\C_cal_100ppm_acid_laurel.2019_08_21_13_17_46.cal"</f>
        <v>C:\TOC3201\CalCurves\Itamar\C_cal_100ppm_acid_laurel.2019_08_21_13_17_46.cal</v>
      </c>
      <c r="G638">
        <v>1</v>
      </c>
      <c r="H638" t="str">
        <f>""</f>
        <v/>
      </c>
      <c r="I638" t="str">
        <f>"8/22/2019 7:50:54 PM"</f>
        <v>8/22/2019 7:50:54 PM</v>
      </c>
      <c r="J638" t="str">
        <f>"1"</f>
        <v>1</v>
      </c>
      <c r="K638" t="str">
        <f>"4"</f>
        <v>4</v>
      </c>
      <c r="L638" t="str">
        <f>"NPOC"</f>
        <v>NPOC</v>
      </c>
      <c r="M638" t="str">
        <f>"42.64"</f>
        <v>42.64</v>
      </c>
      <c r="N638" t="str">
        <f>"8.393"</f>
        <v>8.393</v>
      </c>
      <c r="O638" t="str">
        <f>"NPOC:8.263mg/L TN:0.9942mg/L"</f>
        <v>NPOC:8.263mg/L TN:0.9942mg/L</v>
      </c>
      <c r="P638">
        <v>0</v>
      </c>
      <c r="Q638" t="str">
        <f>"80"</f>
        <v>80</v>
      </c>
    </row>
    <row r="639" spans="1:17" x14ac:dyDescent="0.2">
      <c r="A639" t="str">
        <f>"Unknown"</f>
        <v>Unknown</v>
      </c>
      <c r="B639" t="str">
        <f>"NPOC/TN"</f>
        <v>NPOC/TN</v>
      </c>
      <c r="C639" t="str">
        <f>"1153"</f>
        <v>1153</v>
      </c>
      <c r="D639" t="str">
        <f>"DI"</f>
        <v>DI</v>
      </c>
      <c r="E639" t="str">
        <f>"C:\TOC3201\Methods\Itamar\acid_sample.met"</f>
        <v>C:\TOC3201\Methods\Itamar\acid_sample.met</v>
      </c>
      <c r="F639" t="str">
        <f>"C:\TOC3201\CalCurves\Itamar\C_cal_100ppm_acid_laurel.2019_08_21_13_17_46.cal"</f>
        <v>C:\TOC3201\CalCurves\Itamar\C_cal_100ppm_acid_laurel.2019_08_21_13_17_46.cal</v>
      </c>
      <c r="G639">
        <v>1</v>
      </c>
      <c r="H639" t="str">
        <f>""</f>
        <v/>
      </c>
      <c r="I639" t="str">
        <f>"8/22/2019 7:54:24 PM"</f>
        <v>8/22/2019 7:54:24 PM</v>
      </c>
      <c r="J639" t="str">
        <f>"1"</f>
        <v>1</v>
      </c>
      <c r="K639" t="str">
        <f>"5"</f>
        <v>5</v>
      </c>
      <c r="L639" t="str">
        <f>"NPOC"</f>
        <v>NPOC</v>
      </c>
      <c r="M639" t="str">
        <f>"40.69"</f>
        <v>40.69</v>
      </c>
      <c r="N639" t="str">
        <f>"7.995"</f>
        <v>7.995</v>
      </c>
      <c r="O639" t="str">
        <f>"NPOC:8.263mg/L TN:0.9942mg/L"</f>
        <v>NPOC:8.263mg/L TN:0.9942mg/L</v>
      </c>
      <c r="P639">
        <v>1</v>
      </c>
      <c r="Q639" t="str">
        <f>"80"</f>
        <v>80</v>
      </c>
    </row>
    <row r="640" spans="1:17" x14ac:dyDescent="0.2">
      <c r="A640" t="str">
        <f>"Unknown"</f>
        <v>Unknown</v>
      </c>
      <c r="B640" t="str">
        <f>"NPOC/TN"</f>
        <v>NPOC/TN</v>
      </c>
      <c r="C640" t="str">
        <f>"1153"</f>
        <v>1153</v>
      </c>
      <c r="D640" t="str">
        <f>"DI"</f>
        <v>DI</v>
      </c>
      <c r="E640" t="str">
        <f>"C:\TOC3201\Methods\Itamar\acid_sample.met"</f>
        <v>C:\TOC3201\Methods\Itamar\acid_sample.met</v>
      </c>
      <c r="F640" t="str">
        <f>"C:\TOC3201\CalCurves\Itamar\N_cal_25ppm_acid_laurel.2019_08_21_15_23_49.cal"</f>
        <v>C:\TOC3201\CalCurves\Itamar\N_cal_25ppm_acid_laurel.2019_08_21_15_23_49.cal</v>
      </c>
      <c r="G640">
        <v>1</v>
      </c>
      <c r="H640" t="str">
        <f>""</f>
        <v/>
      </c>
      <c r="I640" t="str">
        <f>"8/22/2019 7:40:26 PM"</f>
        <v>8/22/2019 7:40:26 PM</v>
      </c>
      <c r="J640" t="str">
        <f>"1"</f>
        <v>1</v>
      </c>
      <c r="K640" t="str">
        <f>"1"</f>
        <v>1</v>
      </c>
      <c r="L640" t="str">
        <f>"TN"</f>
        <v>TN</v>
      </c>
      <c r="M640" t="str">
        <f>"3.433"</f>
        <v>3.433</v>
      </c>
      <c r="N640" t="str">
        <f>"1.096"</f>
        <v>1.096</v>
      </c>
      <c r="O640" t="str">
        <f>"NPOC:8.263mg/L TN:0.9942mg/L"</f>
        <v>NPOC:8.263mg/L TN:0.9942mg/L</v>
      </c>
      <c r="P640">
        <v>1</v>
      </c>
      <c r="Q640" t="str">
        <f>"80"</f>
        <v>80</v>
      </c>
    </row>
    <row r="641" spans="1:17" x14ac:dyDescent="0.2">
      <c r="A641" t="str">
        <f>"Unknown"</f>
        <v>Unknown</v>
      </c>
      <c r="B641" t="str">
        <f>"NPOC/TN"</f>
        <v>NPOC/TN</v>
      </c>
      <c r="C641" t="str">
        <f>"1153"</f>
        <v>1153</v>
      </c>
      <c r="D641" t="str">
        <f>"DI"</f>
        <v>DI</v>
      </c>
      <c r="E641" t="str">
        <f>"C:\TOC3201\Methods\Itamar\acid_sample.met"</f>
        <v>C:\TOC3201\Methods\Itamar\acid_sample.met</v>
      </c>
      <c r="F641" t="str">
        <f>"C:\TOC3201\CalCurves\Itamar\N_cal_25ppm_acid_laurel.2019_08_21_15_23_49.cal"</f>
        <v>C:\TOC3201\CalCurves\Itamar\N_cal_25ppm_acid_laurel.2019_08_21_15_23_49.cal</v>
      </c>
      <c r="G641">
        <v>1</v>
      </c>
      <c r="H641" t="str">
        <f>""</f>
        <v/>
      </c>
      <c r="I641" t="str">
        <f>"8/22/2019 7:43:56 PM"</f>
        <v>8/22/2019 7:43:56 PM</v>
      </c>
      <c r="J641" t="str">
        <f>"1"</f>
        <v>1</v>
      </c>
      <c r="K641" t="str">
        <f>"2"</f>
        <v>2</v>
      </c>
      <c r="L641" t="str">
        <f>"TN"</f>
        <v>TN</v>
      </c>
      <c r="M641" t="str">
        <f>"3.138"</f>
        <v>3.138</v>
      </c>
      <c r="N641" t="str">
        <f>"1.015"</f>
        <v>1.015</v>
      </c>
      <c r="O641" t="str">
        <f>"NPOC:8.263mg/L TN:0.9942mg/L"</f>
        <v>NPOC:8.263mg/L TN:0.9942mg/L</v>
      </c>
      <c r="P641">
        <v>0</v>
      </c>
      <c r="Q641" t="str">
        <f>"80"</f>
        <v>80</v>
      </c>
    </row>
    <row r="642" spans="1:17" x14ac:dyDescent="0.2">
      <c r="A642" t="str">
        <f>"Unknown"</f>
        <v>Unknown</v>
      </c>
      <c r="B642" t="str">
        <f>"NPOC/TN"</f>
        <v>NPOC/TN</v>
      </c>
      <c r="C642" t="str">
        <f>"1153"</f>
        <v>1153</v>
      </c>
      <c r="D642" t="str">
        <f>"DI"</f>
        <v>DI</v>
      </c>
      <c r="E642" t="str">
        <f>"C:\TOC3201\Methods\Itamar\acid_sample.met"</f>
        <v>C:\TOC3201\Methods\Itamar\acid_sample.met</v>
      </c>
      <c r="F642" t="str">
        <f>"C:\TOC3201\CalCurves\Itamar\N_cal_25ppm_acid_laurel.2019_08_21_15_23_49.cal"</f>
        <v>C:\TOC3201\CalCurves\Itamar\N_cal_25ppm_acid_laurel.2019_08_21_15_23_49.cal</v>
      </c>
      <c r="G642">
        <v>1</v>
      </c>
      <c r="H642" t="str">
        <f>""</f>
        <v/>
      </c>
      <c r="I642" t="str">
        <f>"8/22/2019 7:47:25 PM"</f>
        <v>8/22/2019 7:47:25 PM</v>
      </c>
      <c r="J642" t="str">
        <f>"1"</f>
        <v>1</v>
      </c>
      <c r="K642" t="str">
        <f>"3"</f>
        <v>3</v>
      </c>
      <c r="L642" t="str">
        <f>"TN"</f>
        <v>TN</v>
      </c>
      <c r="M642" t="str">
        <f>"2.986"</f>
        <v>2.986</v>
      </c>
      <c r="N642" t="str">
        <f>"0.9734"</f>
        <v>0.9734</v>
      </c>
      <c r="O642" t="str">
        <f>"NPOC:8.263mg/L TN:0.9942mg/L"</f>
        <v>NPOC:8.263mg/L TN:0.9942mg/L</v>
      </c>
      <c r="P642">
        <v>0</v>
      </c>
      <c r="Q642" t="str">
        <f>"80"</f>
        <v>80</v>
      </c>
    </row>
    <row r="643" spans="1:17" x14ac:dyDescent="0.2">
      <c r="A643" t="str">
        <f>"Unknown"</f>
        <v>Unknown</v>
      </c>
      <c r="B643" t="str">
        <f>"NPOC/TN"</f>
        <v>NPOC/TN</v>
      </c>
      <c r="C643" t="str">
        <f>"1153"</f>
        <v>1153</v>
      </c>
      <c r="D643" t="str">
        <f>"DI"</f>
        <v>DI</v>
      </c>
      <c r="E643" t="str">
        <f>"C:\TOC3201\Methods\Itamar\acid_sample.met"</f>
        <v>C:\TOC3201\Methods\Itamar\acid_sample.met</v>
      </c>
      <c r="F643" t="str">
        <f>"C:\TOC3201\CalCurves\Itamar\N_cal_25ppm_acid_laurel.2019_08_21_15_23_49.cal"</f>
        <v>C:\TOC3201\CalCurves\Itamar\N_cal_25ppm_acid_laurel.2019_08_21_15_23_49.cal</v>
      </c>
      <c r="G643">
        <v>1</v>
      </c>
      <c r="H643" t="str">
        <f>""</f>
        <v/>
      </c>
      <c r="I643" t="str">
        <f>"8/22/2019 7:50:54 PM"</f>
        <v>8/22/2019 7:50:54 PM</v>
      </c>
      <c r="J643" t="str">
        <f>"1"</f>
        <v>1</v>
      </c>
      <c r="K643" t="str">
        <f>"4"</f>
        <v>4</v>
      </c>
      <c r="L643" t="str">
        <f>"TN"</f>
        <v>TN</v>
      </c>
      <c r="M643" t="str">
        <f>"3.308"</f>
        <v>3.308</v>
      </c>
      <c r="N643" t="str">
        <f>"1.062"</f>
        <v>1.062</v>
      </c>
      <c r="O643" t="str">
        <f>"NPOC:8.263mg/L TN:0.9942mg/L"</f>
        <v>NPOC:8.263mg/L TN:0.9942mg/L</v>
      </c>
      <c r="P643">
        <v>1</v>
      </c>
      <c r="Q643" t="str">
        <f>"80"</f>
        <v>80</v>
      </c>
    </row>
    <row r="644" spans="1:17" x14ac:dyDescent="0.2">
      <c r="A644" t="str">
        <f>"Unknown"</f>
        <v>Unknown</v>
      </c>
      <c r="B644" t="str">
        <f>"NPOC/TN"</f>
        <v>NPOC/TN</v>
      </c>
      <c r="C644" t="str">
        <f>"1153"</f>
        <v>1153</v>
      </c>
      <c r="D644" t="str">
        <f>"DI"</f>
        <v>DI</v>
      </c>
      <c r="E644" t="str">
        <f>"C:\TOC3201\Methods\Itamar\acid_sample.met"</f>
        <v>C:\TOC3201\Methods\Itamar\acid_sample.met</v>
      </c>
      <c r="F644" t="str">
        <f>"C:\TOC3201\CalCurves\Itamar\N_cal_25ppm_acid_laurel.2019_08_21_15_23_49.cal"</f>
        <v>C:\TOC3201\CalCurves\Itamar\N_cal_25ppm_acid_laurel.2019_08_21_15_23_49.cal</v>
      </c>
      <c r="G644">
        <v>1</v>
      </c>
      <c r="H644" t="str">
        <f>""</f>
        <v/>
      </c>
      <c r="I644" t="str">
        <f>"8/22/2019 7:54:24 PM"</f>
        <v>8/22/2019 7:54:24 PM</v>
      </c>
      <c r="J644" t="str">
        <f>"1"</f>
        <v>1</v>
      </c>
      <c r="K644" t="str">
        <f>"5"</f>
        <v>5</v>
      </c>
      <c r="L644" t="str">
        <f>"TN"</f>
        <v>TN</v>
      </c>
      <c r="M644" t="str">
        <f>"3.062"</f>
        <v>3.062</v>
      </c>
      <c r="N644" t="str">
        <f>"0.9942"</f>
        <v>0.9942</v>
      </c>
      <c r="O644" t="str">
        <f>"NPOC:8.263mg/L TN:0.9942mg/L"</f>
        <v>NPOC:8.263mg/L TN:0.9942mg/L</v>
      </c>
      <c r="P644">
        <v>0</v>
      </c>
      <c r="Q644" t="str">
        <f>"80"</f>
        <v>80</v>
      </c>
    </row>
    <row r="645" spans="1:17" x14ac:dyDescent="0.2">
      <c r="A645" t="str">
        <f>"Unknown"</f>
        <v>Unknown</v>
      </c>
      <c r="B645" t="str">
        <f>"NPOC/TN"</f>
        <v>NPOC/TN</v>
      </c>
      <c r="C645" t="str">
        <f>"1155"</f>
        <v>1155</v>
      </c>
      <c r="D645" t="str">
        <f>"DI"</f>
        <v>DI</v>
      </c>
      <c r="E645" t="str">
        <f>"C:\TOC3201\Methods\Itamar\acid_sample.met"</f>
        <v>C:\TOC3201\Methods\Itamar\acid_sample.met</v>
      </c>
      <c r="F645" t="str">
        <f>"C:\TOC3201\CalCurves\Itamar\C_cal_100ppm_acid_laurel.2019_08_21_13_17_46.cal"</f>
        <v>C:\TOC3201\CalCurves\Itamar\C_cal_100ppm_acid_laurel.2019_08_21_13_17_46.cal</v>
      </c>
      <c r="G645">
        <v>1</v>
      </c>
      <c r="H645" t="str">
        <f>""</f>
        <v/>
      </c>
      <c r="I645" t="str">
        <f>"8/22/2019 8:04:34 PM"</f>
        <v>8/22/2019 8:04:34 PM</v>
      </c>
      <c r="J645" t="str">
        <f>"1"</f>
        <v>1</v>
      </c>
      <c r="K645" t="str">
        <f>"1"</f>
        <v>1</v>
      </c>
      <c r="L645" t="str">
        <f>"NPOC"</f>
        <v>NPOC</v>
      </c>
      <c r="M645" t="str">
        <f>"57.91"</f>
        <v>57.91</v>
      </c>
      <c r="N645" t="str">
        <f>"11.52"</f>
        <v>11.52</v>
      </c>
      <c r="O645" t="str">
        <f>"NPOC:11.44mg/L TN:1.990mg/L"</f>
        <v>NPOC:11.44mg/L TN:1.990mg/L</v>
      </c>
      <c r="P645">
        <v>0</v>
      </c>
      <c r="Q645" t="str">
        <f>"80"</f>
        <v>80</v>
      </c>
    </row>
    <row r="646" spans="1:17" x14ac:dyDescent="0.2">
      <c r="A646" t="str">
        <f>"Unknown"</f>
        <v>Unknown</v>
      </c>
      <c r="B646" t="str">
        <f>"NPOC/TN"</f>
        <v>NPOC/TN</v>
      </c>
      <c r="C646" t="str">
        <f>"1155"</f>
        <v>1155</v>
      </c>
      <c r="D646" t="str">
        <f>"DI"</f>
        <v>DI</v>
      </c>
      <c r="E646" t="str">
        <f>"C:\TOC3201\Methods\Itamar\acid_sample.met"</f>
        <v>C:\TOC3201\Methods\Itamar\acid_sample.met</v>
      </c>
      <c r="F646" t="str">
        <f>"C:\TOC3201\CalCurves\Itamar\C_cal_100ppm_acid_laurel.2019_08_21_13_17_46.cal"</f>
        <v>C:\TOC3201\CalCurves\Itamar\C_cal_100ppm_acid_laurel.2019_08_21_13_17_46.cal</v>
      </c>
      <c r="G646">
        <v>1</v>
      </c>
      <c r="H646" t="str">
        <f>""</f>
        <v/>
      </c>
      <c r="I646" t="str">
        <f>"8/22/2019 8:08:15 PM"</f>
        <v>8/22/2019 8:08:15 PM</v>
      </c>
      <c r="J646" t="str">
        <f>"1"</f>
        <v>1</v>
      </c>
      <c r="K646" t="str">
        <f>"2"</f>
        <v>2</v>
      </c>
      <c r="L646" t="str">
        <f>"NPOC"</f>
        <v>NPOC</v>
      </c>
      <c r="M646" t="str">
        <f>"56.83"</f>
        <v>56.83</v>
      </c>
      <c r="N646" t="str">
        <f>"11.29"</f>
        <v>11.29</v>
      </c>
      <c r="O646" t="str">
        <f>"NPOC:11.44mg/L TN:1.990mg/L"</f>
        <v>NPOC:11.44mg/L TN:1.990mg/L</v>
      </c>
      <c r="P646">
        <v>0</v>
      </c>
      <c r="Q646" t="str">
        <f>"80"</f>
        <v>80</v>
      </c>
    </row>
    <row r="647" spans="1:17" x14ac:dyDescent="0.2">
      <c r="A647" t="str">
        <f>"Unknown"</f>
        <v>Unknown</v>
      </c>
      <c r="B647" t="str">
        <f>"NPOC/TN"</f>
        <v>NPOC/TN</v>
      </c>
      <c r="C647" t="str">
        <f>"1155"</f>
        <v>1155</v>
      </c>
      <c r="D647" t="str">
        <f>"DI"</f>
        <v>DI</v>
      </c>
      <c r="E647" t="str">
        <f>"C:\TOC3201\Methods\Itamar\acid_sample.met"</f>
        <v>C:\TOC3201\Methods\Itamar\acid_sample.met</v>
      </c>
      <c r="F647" t="str">
        <f>"C:\TOC3201\CalCurves\Itamar\C_cal_100ppm_acid_laurel.2019_08_21_13_17_46.cal"</f>
        <v>C:\TOC3201\CalCurves\Itamar\C_cal_100ppm_acid_laurel.2019_08_21_13_17_46.cal</v>
      </c>
      <c r="G647">
        <v>1</v>
      </c>
      <c r="H647" t="str">
        <f>""</f>
        <v/>
      </c>
      <c r="I647" t="str">
        <f>"8/22/2019 8:12:09 PM"</f>
        <v>8/22/2019 8:12:09 PM</v>
      </c>
      <c r="J647" t="str">
        <f>"1"</f>
        <v>1</v>
      </c>
      <c r="K647" t="str">
        <f>"3"</f>
        <v>3</v>
      </c>
      <c r="L647" t="str">
        <f>"NPOC"</f>
        <v>NPOC</v>
      </c>
      <c r="M647" t="str">
        <f>"61.89"</f>
        <v>61.89</v>
      </c>
      <c r="N647" t="str">
        <f>"12.33"</f>
        <v>12.33</v>
      </c>
      <c r="O647" t="str">
        <f>"NPOC:11.44mg/L TN:1.990mg/L"</f>
        <v>NPOC:11.44mg/L TN:1.990mg/L</v>
      </c>
      <c r="P647">
        <v>1</v>
      </c>
      <c r="Q647" t="str">
        <f>"80"</f>
        <v>80</v>
      </c>
    </row>
    <row r="648" spans="1:17" x14ac:dyDescent="0.2">
      <c r="A648" t="str">
        <f>"Unknown"</f>
        <v>Unknown</v>
      </c>
      <c r="B648" t="str">
        <f>"NPOC/TN"</f>
        <v>NPOC/TN</v>
      </c>
      <c r="C648" t="str">
        <f>"1155"</f>
        <v>1155</v>
      </c>
      <c r="D648" t="str">
        <f>"DI"</f>
        <v>DI</v>
      </c>
      <c r="E648" t="str">
        <f>"C:\TOC3201\Methods\Itamar\acid_sample.met"</f>
        <v>C:\TOC3201\Methods\Itamar\acid_sample.met</v>
      </c>
      <c r="F648" t="str">
        <f>"C:\TOC3201\CalCurves\Itamar\C_cal_100ppm_acid_laurel.2019_08_21_13_17_46.cal"</f>
        <v>C:\TOC3201\CalCurves\Itamar\C_cal_100ppm_acid_laurel.2019_08_21_13_17_46.cal</v>
      </c>
      <c r="G648">
        <v>1</v>
      </c>
      <c r="H648" t="str">
        <f>""</f>
        <v/>
      </c>
      <c r="I648" t="str">
        <f>"8/22/2019 8:15:40 PM"</f>
        <v>8/22/2019 8:15:40 PM</v>
      </c>
      <c r="J648" t="str">
        <f>"1"</f>
        <v>1</v>
      </c>
      <c r="K648" t="str">
        <f>"4"</f>
        <v>4</v>
      </c>
      <c r="L648" t="str">
        <f>"NPOC"</f>
        <v>NPOC</v>
      </c>
      <c r="M648" t="str">
        <f>"59.43"</f>
        <v>59.43</v>
      </c>
      <c r="N648" t="str">
        <f>"11.83"</f>
        <v>11.83</v>
      </c>
      <c r="O648" t="str">
        <f>"NPOC:11.44mg/L TN:1.990mg/L"</f>
        <v>NPOC:11.44mg/L TN:1.990mg/L</v>
      </c>
      <c r="P648">
        <v>1</v>
      </c>
      <c r="Q648" t="str">
        <f>"80"</f>
        <v>80</v>
      </c>
    </row>
    <row r="649" spans="1:17" x14ac:dyDescent="0.2">
      <c r="A649" t="str">
        <f>"Unknown"</f>
        <v>Unknown</v>
      </c>
      <c r="B649" t="str">
        <f>"NPOC/TN"</f>
        <v>NPOC/TN</v>
      </c>
      <c r="C649" t="str">
        <f>"1155"</f>
        <v>1155</v>
      </c>
      <c r="D649" t="str">
        <f>"DI"</f>
        <v>DI</v>
      </c>
      <c r="E649" t="str">
        <f>"C:\TOC3201\Methods\Itamar\acid_sample.met"</f>
        <v>C:\TOC3201\Methods\Itamar\acid_sample.met</v>
      </c>
      <c r="F649" t="str">
        <f>"C:\TOC3201\CalCurves\Itamar\C_cal_100ppm_acid_laurel.2019_08_21_13_17_46.cal"</f>
        <v>C:\TOC3201\CalCurves\Itamar\C_cal_100ppm_acid_laurel.2019_08_21_13_17_46.cal</v>
      </c>
      <c r="G649">
        <v>1</v>
      </c>
      <c r="H649" t="str">
        <f>""</f>
        <v/>
      </c>
      <c r="I649" t="str">
        <f>"8/22/2019 8:19:22 PM"</f>
        <v>8/22/2019 8:19:22 PM</v>
      </c>
      <c r="J649" t="str">
        <f>"1"</f>
        <v>1</v>
      </c>
      <c r="K649" t="str">
        <f>"5"</f>
        <v>5</v>
      </c>
      <c r="L649" t="str">
        <f>"NPOC"</f>
        <v>NPOC</v>
      </c>
      <c r="M649" t="str">
        <f>"57.86"</f>
        <v>57.86</v>
      </c>
      <c r="N649" t="str">
        <f>"11.51"</f>
        <v>11.51</v>
      </c>
      <c r="O649" t="str">
        <f>"NPOC:11.44mg/L TN:1.990mg/L"</f>
        <v>NPOC:11.44mg/L TN:1.990mg/L</v>
      </c>
      <c r="P649">
        <v>0</v>
      </c>
      <c r="Q649" t="str">
        <f>"80"</f>
        <v>80</v>
      </c>
    </row>
    <row r="650" spans="1:17" x14ac:dyDescent="0.2">
      <c r="A650" t="str">
        <f>"Unknown"</f>
        <v>Unknown</v>
      </c>
      <c r="B650" t="str">
        <f>"NPOC/TN"</f>
        <v>NPOC/TN</v>
      </c>
      <c r="C650" t="str">
        <f>"1155"</f>
        <v>1155</v>
      </c>
      <c r="D650" t="str">
        <f>"DI"</f>
        <v>DI</v>
      </c>
      <c r="E650" t="str">
        <f>"C:\TOC3201\Methods\Itamar\acid_sample.met"</f>
        <v>C:\TOC3201\Methods\Itamar\acid_sample.met</v>
      </c>
      <c r="F650" t="str">
        <f>"C:\TOC3201\CalCurves\Itamar\N_cal_25ppm_acid_laurel.2019_08_21_15_23_49.cal"</f>
        <v>C:\TOC3201\CalCurves\Itamar\N_cal_25ppm_acid_laurel.2019_08_21_15_23_49.cal</v>
      </c>
      <c r="G650">
        <v>1</v>
      </c>
      <c r="H650" t="str">
        <f>""</f>
        <v/>
      </c>
      <c r="I650" t="str">
        <f>"8/22/2019 8:04:34 PM"</f>
        <v>8/22/2019 8:04:34 PM</v>
      </c>
      <c r="J650" t="str">
        <f>"1"</f>
        <v>1</v>
      </c>
      <c r="K650" t="str">
        <f>"1"</f>
        <v>1</v>
      </c>
      <c r="L650" t="str">
        <f>"TN"</f>
        <v>TN</v>
      </c>
      <c r="M650" t="str">
        <f>"6.126"</f>
        <v>6.126</v>
      </c>
      <c r="N650" t="str">
        <f>"1.835"</f>
        <v>1.835</v>
      </c>
      <c r="O650" t="str">
        <f>"NPOC:11.44mg/L TN:1.990mg/L"</f>
        <v>NPOC:11.44mg/L TN:1.990mg/L</v>
      </c>
      <c r="P650">
        <v>1</v>
      </c>
      <c r="Q650" t="str">
        <f>"80"</f>
        <v>80</v>
      </c>
    </row>
    <row r="651" spans="1:17" x14ac:dyDescent="0.2">
      <c r="A651" t="str">
        <f>"Unknown"</f>
        <v>Unknown</v>
      </c>
      <c r="B651" t="str">
        <f>"NPOC/TN"</f>
        <v>NPOC/TN</v>
      </c>
      <c r="C651" t="str">
        <f>"1155"</f>
        <v>1155</v>
      </c>
      <c r="D651" t="str">
        <f>"DI"</f>
        <v>DI</v>
      </c>
      <c r="E651" t="str">
        <f>"C:\TOC3201\Methods\Itamar\acid_sample.met"</f>
        <v>C:\TOC3201\Methods\Itamar\acid_sample.met</v>
      </c>
      <c r="F651" t="str">
        <f>"C:\TOC3201\CalCurves\Itamar\N_cal_25ppm_acid_laurel.2019_08_21_15_23_49.cal"</f>
        <v>C:\TOC3201\CalCurves\Itamar\N_cal_25ppm_acid_laurel.2019_08_21_15_23_49.cal</v>
      </c>
      <c r="G651">
        <v>1</v>
      </c>
      <c r="H651" t="str">
        <f>""</f>
        <v/>
      </c>
      <c r="I651" t="str">
        <f>"8/22/2019 8:08:15 PM"</f>
        <v>8/22/2019 8:08:15 PM</v>
      </c>
      <c r="J651" t="str">
        <f>"1"</f>
        <v>1</v>
      </c>
      <c r="K651" t="str">
        <f>"2"</f>
        <v>2</v>
      </c>
      <c r="L651" t="str">
        <f>"TN"</f>
        <v>TN</v>
      </c>
      <c r="M651" t="str">
        <f>"6.754"</f>
        <v>6.754</v>
      </c>
      <c r="N651" t="str">
        <f>"2.007"</f>
        <v>2.007</v>
      </c>
      <c r="O651" t="str">
        <f>"NPOC:11.44mg/L TN:1.990mg/L"</f>
        <v>NPOC:11.44mg/L TN:1.990mg/L</v>
      </c>
      <c r="P651">
        <v>0</v>
      </c>
      <c r="Q651" t="str">
        <f>"80"</f>
        <v>80</v>
      </c>
    </row>
    <row r="652" spans="1:17" x14ac:dyDescent="0.2">
      <c r="A652" t="str">
        <f>"Unknown"</f>
        <v>Unknown</v>
      </c>
      <c r="B652" t="str">
        <f>"NPOC/TN"</f>
        <v>NPOC/TN</v>
      </c>
      <c r="C652" t="str">
        <f>"1155"</f>
        <v>1155</v>
      </c>
      <c r="D652" t="str">
        <f>"DI"</f>
        <v>DI</v>
      </c>
      <c r="E652" t="str">
        <f>"C:\TOC3201\Methods\Itamar\acid_sample.met"</f>
        <v>C:\TOC3201\Methods\Itamar\acid_sample.met</v>
      </c>
      <c r="F652" t="str">
        <f>"C:\TOC3201\CalCurves\Itamar\N_cal_25ppm_acid_laurel.2019_08_21_15_23_49.cal"</f>
        <v>C:\TOC3201\CalCurves\Itamar\N_cal_25ppm_acid_laurel.2019_08_21_15_23_49.cal</v>
      </c>
      <c r="G652">
        <v>1</v>
      </c>
      <c r="H652" t="str">
        <f>""</f>
        <v/>
      </c>
      <c r="I652" t="str">
        <f>"8/22/2019 8:12:09 PM"</f>
        <v>8/22/2019 8:12:09 PM</v>
      </c>
      <c r="J652" t="str">
        <f>"1"</f>
        <v>1</v>
      </c>
      <c r="K652" t="str">
        <f>"3"</f>
        <v>3</v>
      </c>
      <c r="L652" t="str">
        <f>"TN"</f>
        <v>TN</v>
      </c>
      <c r="M652" t="str">
        <f>"7.221"</f>
        <v>7.221</v>
      </c>
      <c r="N652" t="str">
        <f>"2.135"</f>
        <v>2.135</v>
      </c>
      <c r="O652" t="str">
        <f>"NPOC:11.44mg/L TN:1.990mg/L"</f>
        <v>NPOC:11.44mg/L TN:1.990mg/L</v>
      </c>
      <c r="P652">
        <v>1</v>
      </c>
      <c r="Q652" t="str">
        <f>"80"</f>
        <v>80</v>
      </c>
    </row>
    <row r="653" spans="1:17" x14ac:dyDescent="0.2">
      <c r="A653" t="str">
        <f>"Unknown"</f>
        <v>Unknown</v>
      </c>
      <c r="B653" t="str">
        <f>"NPOC/TN"</f>
        <v>NPOC/TN</v>
      </c>
      <c r="C653" t="str">
        <f>"1155"</f>
        <v>1155</v>
      </c>
      <c r="D653" t="str">
        <f>"DI"</f>
        <v>DI</v>
      </c>
      <c r="E653" t="str">
        <f>"C:\TOC3201\Methods\Itamar\acid_sample.met"</f>
        <v>C:\TOC3201\Methods\Itamar\acid_sample.met</v>
      </c>
      <c r="F653" t="str">
        <f>"C:\TOC3201\CalCurves\Itamar\N_cal_25ppm_acid_laurel.2019_08_21_15_23_49.cal"</f>
        <v>C:\TOC3201\CalCurves\Itamar\N_cal_25ppm_acid_laurel.2019_08_21_15_23_49.cal</v>
      </c>
      <c r="G653">
        <v>1</v>
      </c>
      <c r="H653" t="str">
        <f>""</f>
        <v/>
      </c>
      <c r="I653" t="str">
        <f>"8/22/2019 8:15:40 PM"</f>
        <v>8/22/2019 8:15:40 PM</v>
      </c>
      <c r="J653" t="str">
        <f>"1"</f>
        <v>1</v>
      </c>
      <c r="K653" t="str">
        <f>"4"</f>
        <v>4</v>
      </c>
      <c r="L653" t="str">
        <f>"TN"</f>
        <v>TN</v>
      </c>
      <c r="M653" t="str">
        <f>"6.672"</f>
        <v>6.672</v>
      </c>
      <c r="N653" t="str">
        <f>"1.984"</f>
        <v>1.984</v>
      </c>
      <c r="O653" t="str">
        <f>"NPOC:11.44mg/L TN:1.990mg/L"</f>
        <v>NPOC:11.44mg/L TN:1.990mg/L</v>
      </c>
      <c r="P653">
        <v>0</v>
      </c>
      <c r="Q653" t="str">
        <f>"80"</f>
        <v>80</v>
      </c>
    </row>
    <row r="654" spans="1:17" x14ac:dyDescent="0.2">
      <c r="A654" t="str">
        <f>"Unknown"</f>
        <v>Unknown</v>
      </c>
      <c r="B654" t="str">
        <f>"NPOC/TN"</f>
        <v>NPOC/TN</v>
      </c>
      <c r="C654" t="str">
        <f>"1155"</f>
        <v>1155</v>
      </c>
      <c r="D654" t="str">
        <f>"DI"</f>
        <v>DI</v>
      </c>
      <c r="E654" t="str">
        <f>"C:\TOC3201\Methods\Itamar\acid_sample.met"</f>
        <v>C:\TOC3201\Methods\Itamar\acid_sample.met</v>
      </c>
      <c r="F654" t="str">
        <f>"C:\TOC3201\CalCurves\Itamar\N_cal_25ppm_acid_laurel.2019_08_21_15_23_49.cal"</f>
        <v>C:\TOC3201\CalCurves\Itamar\N_cal_25ppm_acid_laurel.2019_08_21_15_23_49.cal</v>
      </c>
      <c r="G654">
        <v>1</v>
      </c>
      <c r="H654" t="str">
        <f>""</f>
        <v/>
      </c>
      <c r="I654" t="str">
        <f>"8/22/2019 8:19:22 PM"</f>
        <v>8/22/2019 8:19:22 PM</v>
      </c>
      <c r="J654" t="str">
        <f>"1"</f>
        <v>1</v>
      </c>
      <c r="K654" t="str">
        <f>"5"</f>
        <v>5</v>
      </c>
      <c r="L654" t="str">
        <f>"TN"</f>
        <v>TN</v>
      </c>
      <c r="M654" t="str">
        <f>"6.651"</f>
        <v>6.651</v>
      </c>
      <c r="N654" t="str">
        <f>"1.979"</f>
        <v>1.979</v>
      </c>
      <c r="O654" t="str">
        <f>"NPOC:11.44mg/L TN:1.990mg/L"</f>
        <v>NPOC:11.44mg/L TN:1.990mg/L</v>
      </c>
      <c r="P654">
        <v>0</v>
      </c>
      <c r="Q654" t="str">
        <f>"80"</f>
        <v>80</v>
      </c>
    </row>
    <row r="655" spans="1:17" x14ac:dyDescent="0.2">
      <c r="A655" t="str">
        <f>"Unknown"</f>
        <v>Unknown</v>
      </c>
      <c r="B655" t="str">
        <f>"NPOC/TN"</f>
        <v>NPOC/TN</v>
      </c>
      <c r="C655" t="str">
        <f>"1157"</f>
        <v>1157</v>
      </c>
      <c r="D655" t="str">
        <f>"DI"</f>
        <v>DI</v>
      </c>
      <c r="E655" t="str">
        <f>"C:\TOC3201\Methods\Itamar\acid_sample.met"</f>
        <v>C:\TOC3201\Methods\Itamar\acid_sample.met</v>
      </c>
      <c r="F655" t="str">
        <f>"C:\TOC3201\CalCurves\Itamar\C_cal_100ppm_acid_laurel.2019_08_21_13_17_46.cal"</f>
        <v>C:\TOC3201\CalCurves\Itamar\C_cal_100ppm_acid_laurel.2019_08_21_13_17_46.cal</v>
      </c>
      <c r="G655">
        <v>1</v>
      </c>
      <c r="H655" t="str">
        <f>""</f>
        <v/>
      </c>
      <c r="I655" t="str">
        <f>"8/22/2019 8:29:29 PM"</f>
        <v>8/22/2019 8:29:29 PM</v>
      </c>
      <c r="J655" t="str">
        <f>"1"</f>
        <v>1</v>
      </c>
      <c r="K655" t="str">
        <f>"1"</f>
        <v>1</v>
      </c>
      <c r="L655" t="str">
        <f>"NPOC"</f>
        <v>NPOC</v>
      </c>
      <c r="M655" t="str">
        <f>"45.88"</f>
        <v>45.88</v>
      </c>
      <c r="N655" t="str">
        <f>"9.056"</f>
        <v>9.056</v>
      </c>
      <c r="O655" t="str">
        <f>"NPOC:9.133mg/L TN:1.101mg/L"</f>
        <v>NPOC:9.133mg/L TN:1.101mg/L</v>
      </c>
      <c r="P655">
        <v>0</v>
      </c>
      <c r="Q655" t="str">
        <f>"80"</f>
        <v>80</v>
      </c>
    </row>
    <row r="656" spans="1:17" x14ac:dyDescent="0.2">
      <c r="A656" t="str">
        <f>"Unknown"</f>
        <v>Unknown</v>
      </c>
      <c r="B656" t="str">
        <f>"NPOC/TN"</f>
        <v>NPOC/TN</v>
      </c>
      <c r="C656" t="str">
        <f>"1157"</f>
        <v>1157</v>
      </c>
      <c r="D656" t="str">
        <f>"DI"</f>
        <v>DI</v>
      </c>
      <c r="E656" t="str">
        <f>"C:\TOC3201\Methods\Itamar\acid_sample.met"</f>
        <v>C:\TOC3201\Methods\Itamar\acid_sample.met</v>
      </c>
      <c r="F656" t="str">
        <f>"C:\TOC3201\CalCurves\Itamar\C_cal_100ppm_acid_laurel.2019_08_21_13_17_46.cal"</f>
        <v>C:\TOC3201\CalCurves\Itamar\C_cal_100ppm_acid_laurel.2019_08_21_13_17_46.cal</v>
      </c>
      <c r="G656">
        <v>1</v>
      </c>
      <c r="H656" t="str">
        <f>""</f>
        <v/>
      </c>
      <c r="I656" t="str">
        <f>"8/22/2019 8:33:08 PM"</f>
        <v>8/22/2019 8:33:08 PM</v>
      </c>
      <c r="J656" t="str">
        <f>"1"</f>
        <v>1</v>
      </c>
      <c r="K656" t="str">
        <f>"2"</f>
        <v>2</v>
      </c>
      <c r="L656" t="str">
        <f>"NPOC"</f>
        <v>NPOC</v>
      </c>
      <c r="M656" t="str">
        <f>"45.81"</f>
        <v>45.81</v>
      </c>
      <c r="N656" t="str">
        <f>"9.041"</f>
        <v>9.041</v>
      </c>
      <c r="O656" t="str">
        <f>"NPOC:9.133mg/L TN:1.101mg/L"</f>
        <v>NPOC:9.133mg/L TN:1.101mg/L</v>
      </c>
      <c r="P656">
        <v>0</v>
      </c>
      <c r="Q656" t="str">
        <f>"80"</f>
        <v>80</v>
      </c>
    </row>
    <row r="657" spans="1:17" x14ac:dyDescent="0.2">
      <c r="A657" t="str">
        <f>"Unknown"</f>
        <v>Unknown</v>
      </c>
      <c r="B657" t="str">
        <f>"NPOC/TN"</f>
        <v>NPOC/TN</v>
      </c>
      <c r="C657" t="str">
        <f>"1157"</f>
        <v>1157</v>
      </c>
      <c r="D657" t="str">
        <f>"DI"</f>
        <v>DI</v>
      </c>
      <c r="E657" t="str">
        <f>"C:\TOC3201\Methods\Itamar\acid_sample.met"</f>
        <v>C:\TOC3201\Methods\Itamar\acid_sample.met</v>
      </c>
      <c r="F657" t="str">
        <f>"C:\TOC3201\CalCurves\Itamar\C_cal_100ppm_acid_laurel.2019_08_21_13_17_46.cal"</f>
        <v>C:\TOC3201\CalCurves\Itamar\C_cal_100ppm_acid_laurel.2019_08_21_13_17_46.cal</v>
      </c>
      <c r="G657">
        <v>1</v>
      </c>
      <c r="H657" t="str">
        <f>""</f>
        <v/>
      </c>
      <c r="I657" t="str">
        <f>"8/22/2019 8:36:40 PM"</f>
        <v>8/22/2019 8:36:40 PM</v>
      </c>
      <c r="J657" t="str">
        <f>"1"</f>
        <v>1</v>
      </c>
      <c r="K657" t="str">
        <f>"3"</f>
        <v>3</v>
      </c>
      <c r="L657" t="str">
        <f>"NPOC"</f>
        <v>NPOC</v>
      </c>
      <c r="M657" t="str">
        <f>"47.09"</f>
        <v>47.09</v>
      </c>
      <c r="N657" t="str">
        <f>"9.303"</f>
        <v>9.303</v>
      </c>
      <c r="O657" t="str">
        <f>"NPOC:9.133mg/L TN:1.101mg/L"</f>
        <v>NPOC:9.133mg/L TN:1.101mg/L</v>
      </c>
      <c r="P657">
        <v>0</v>
      </c>
      <c r="Q657" t="str">
        <f>"80"</f>
        <v>80</v>
      </c>
    </row>
    <row r="658" spans="1:17" x14ac:dyDescent="0.2">
      <c r="A658" t="str">
        <f>"Unknown"</f>
        <v>Unknown</v>
      </c>
      <c r="B658" t="str">
        <f>"NPOC/TN"</f>
        <v>NPOC/TN</v>
      </c>
      <c r="C658" t="str">
        <f>"1157"</f>
        <v>1157</v>
      </c>
      <c r="D658" t="str">
        <f>"DI"</f>
        <v>DI</v>
      </c>
      <c r="E658" t="str">
        <f>"C:\TOC3201\Methods\Itamar\acid_sample.met"</f>
        <v>C:\TOC3201\Methods\Itamar\acid_sample.met</v>
      </c>
      <c r="F658" t="str">
        <f>"C:\TOC3201\CalCurves\Itamar\N_cal_25ppm_acid_laurel.2019_08_21_15_23_49.cal"</f>
        <v>C:\TOC3201\CalCurves\Itamar\N_cal_25ppm_acid_laurel.2019_08_21_15_23_49.cal</v>
      </c>
      <c r="G658">
        <v>1</v>
      </c>
      <c r="H658" t="str">
        <f>""</f>
        <v/>
      </c>
      <c r="I658" t="str">
        <f>"8/22/2019 8:29:29 PM"</f>
        <v>8/22/2019 8:29:29 PM</v>
      </c>
      <c r="J658" t="str">
        <f>"1"</f>
        <v>1</v>
      </c>
      <c r="K658" t="str">
        <f>"1"</f>
        <v>1</v>
      </c>
      <c r="L658" t="str">
        <f>"TN"</f>
        <v>TN</v>
      </c>
      <c r="M658" t="str">
        <f>"3.381"</f>
        <v>3.381</v>
      </c>
      <c r="N658" t="str">
        <f>"1.082"</f>
        <v>1.082</v>
      </c>
      <c r="O658" t="str">
        <f>"NPOC:9.133mg/L TN:1.101mg/L"</f>
        <v>NPOC:9.133mg/L TN:1.101mg/L</v>
      </c>
      <c r="P658">
        <v>0</v>
      </c>
      <c r="Q658" t="str">
        <f>"80"</f>
        <v>80</v>
      </c>
    </row>
    <row r="659" spans="1:17" x14ac:dyDescent="0.2">
      <c r="A659" t="str">
        <f>"Unknown"</f>
        <v>Unknown</v>
      </c>
      <c r="B659" t="str">
        <f>"NPOC/TN"</f>
        <v>NPOC/TN</v>
      </c>
      <c r="C659" t="str">
        <f>"1157"</f>
        <v>1157</v>
      </c>
      <c r="D659" t="str">
        <f>"DI"</f>
        <v>DI</v>
      </c>
      <c r="E659" t="str">
        <f>"C:\TOC3201\Methods\Itamar\acid_sample.met"</f>
        <v>C:\TOC3201\Methods\Itamar\acid_sample.met</v>
      </c>
      <c r="F659" t="str">
        <f>"C:\TOC3201\CalCurves\Itamar\N_cal_25ppm_acid_laurel.2019_08_21_15_23_49.cal"</f>
        <v>C:\TOC3201\CalCurves\Itamar\N_cal_25ppm_acid_laurel.2019_08_21_15_23_49.cal</v>
      </c>
      <c r="G659">
        <v>1</v>
      </c>
      <c r="H659" t="str">
        <f>""</f>
        <v/>
      </c>
      <c r="I659" t="str">
        <f>"8/22/2019 8:33:08 PM"</f>
        <v>8/22/2019 8:33:08 PM</v>
      </c>
      <c r="J659" t="str">
        <f>"1"</f>
        <v>1</v>
      </c>
      <c r="K659" t="str">
        <f>"2"</f>
        <v>2</v>
      </c>
      <c r="L659" t="str">
        <f>"TN"</f>
        <v>TN</v>
      </c>
      <c r="M659" t="str">
        <f>"3.355"</f>
        <v>3.355</v>
      </c>
      <c r="N659" t="str">
        <f>"1.075"</f>
        <v>1.075</v>
      </c>
      <c r="O659" t="str">
        <f>"NPOC:9.133mg/L TN:1.101mg/L"</f>
        <v>NPOC:9.133mg/L TN:1.101mg/L</v>
      </c>
      <c r="P659">
        <v>0</v>
      </c>
      <c r="Q659" t="str">
        <f>"80"</f>
        <v>80</v>
      </c>
    </row>
    <row r="660" spans="1:17" x14ac:dyDescent="0.2">
      <c r="A660" t="str">
        <f>"Unknown"</f>
        <v>Unknown</v>
      </c>
      <c r="B660" t="str">
        <f>"NPOC/TN"</f>
        <v>NPOC/TN</v>
      </c>
      <c r="C660" t="str">
        <f>"1157"</f>
        <v>1157</v>
      </c>
      <c r="D660" t="str">
        <f>"DI"</f>
        <v>DI</v>
      </c>
      <c r="E660" t="str">
        <f>"C:\TOC3201\Methods\Itamar\acid_sample.met"</f>
        <v>C:\TOC3201\Methods\Itamar\acid_sample.met</v>
      </c>
      <c r="F660" t="str">
        <f>"C:\TOC3201\CalCurves\Itamar\N_cal_25ppm_acid_laurel.2019_08_21_15_23_49.cal"</f>
        <v>C:\TOC3201\CalCurves\Itamar\N_cal_25ppm_acid_laurel.2019_08_21_15_23_49.cal</v>
      </c>
      <c r="G660">
        <v>1</v>
      </c>
      <c r="H660" t="str">
        <f>""</f>
        <v/>
      </c>
      <c r="I660" t="str">
        <f>"8/22/2019 8:36:40 PM"</f>
        <v>8/22/2019 8:36:40 PM</v>
      </c>
      <c r="J660" t="str">
        <f>"1"</f>
        <v>1</v>
      </c>
      <c r="K660" t="str">
        <f>"3"</f>
        <v>3</v>
      </c>
      <c r="L660" t="str">
        <f>"TN"</f>
        <v>TN</v>
      </c>
      <c r="M660" t="str">
        <f>"3.958"</f>
        <v>3.958</v>
      </c>
      <c r="N660" t="str">
        <f>"1.240"</f>
        <v>1.240</v>
      </c>
      <c r="O660" t="str">
        <f>"NPOC:9.133mg/L TN:1.101mg/L"</f>
        <v>NPOC:9.133mg/L TN:1.101mg/L</v>
      </c>
      <c r="P660">
        <v>1</v>
      </c>
      <c r="Q660" t="str">
        <f>"80"</f>
        <v>80</v>
      </c>
    </row>
    <row r="661" spans="1:17" x14ac:dyDescent="0.2">
      <c r="A661" t="str">
        <f>"Unknown"</f>
        <v>Unknown</v>
      </c>
      <c r="B661" t="str">
        <f>"NPOC/TN"</f>
        <v>NPOC/TN</v>
      </c>
      <c r="C661" t="str">
        <f>"1157"</f>
        <v>1157</v>
      </c>
      <c r="D661" t="str">
        <f>"DI"</f>
        <v>DI</v>
      </c>
      <c r="E661" t="str">
        <f>"C:\TOC3201\Methods\Itamar\acid_sample.met"</f>
        <v>C:\TOC3201\Methods\Itamar\acid_sample.met</v>
      </c>
      <c r="F661" t="str">
        <f>"C:\TOC3201\CalCurves\Itamar\N_cal_25ppm_acid_laurel.2019_08_21_15_23_49.cal"</f>
        <v>C:\TOC3201\CalCurves\Itamar\N_cal_25ppm_acid_laurel.2019_08_21_15_23_49.cal</v>
      </c>
      <c r="G661">
        <v>1</v>
      </c>
      <c r="H661" t="str">
        <f>""</f>
        <v/>
      </c>
      <c r="I661" t="str">
        <f>"8/22/2019 8:39:48 PM"</f>
        <v>8/22/2019 8:39:48 PM</v>
      </c>
      <c r="J661" t="str">
        <f>"1"</f>
        <v>1</v>
      </c>
      <c r="K661" t="str">
        <f>"4"</f>
        <v>4</v>
      </c>
      <c r="L661" t="str">
        <f>"TN"</f>
        <v>TN</v>
      </c>
      <c r="M661" t="str">
        <f>"3.991"</f>
        <v>3.991</v>
      </c>
      <c r="N661" t="str">
        <f>"1.249"</f>
        <v>1.249</v>
      </c>
      <c r="O661" t="str">
        <f>"NPOC:9.133mg/L TN:1.101mg/L"</f>
        <v>NPOC:9.133mg/L TN:1.101mg/L</v>
      </c>
      <c r="P661">
        <v>1</v>
      </c>
      <c r="Q661" t="str">
        <f>"80"</f>
        <v>80</v>
      </c>
    </row>
    <row r="662" spans="1:17" x14ac:dyDescent="0.2">
      <c r="A662" t="str">
        <f>"Unknown"</f>
        <v>Unknown</v>
      </c>
      <c r="B662" t="str">
        <f>"NPOC/TN"</f>
        <v>NPOC/TN</v>
      </c>
      <c r="C662" t="str">
        <f>"1157"</f>
        <v>1157</v>
      </c>
      <c r="D662" t="str">
        <f>"DI"</f>
        <v>DI</v>
      </c>
      <c r="E662" t="str">
        <f>"C:\TOC3201\Methods\Itamar\acid_sample.met"</f>
        <v>C:\TOC3201\Methods\Itamar\acid_sample.met</v>
      </c>
      <c r="F662" t="str">
        <f>"C:\TOC3201\CalCurves\Itamar\N_cal_25ppm_acid_laurel.2019_08_21_15_23_49.cal"</f>
        <v>C:\TOC3201\CalCurves\Itamar\N_cal_25ppm_acid_laurel.2019_08_21_15_23_49.cal</v>
      </c>
      <c r="G662">
        <v>1</v>
      </c>
      <c r="H662" t="str">
        <f>""</f>
        <v/>
      </c>
      <c r="I662" t="str">
        <f>"8/22/2019 8:42:49 PM"</f>
        <v>8/22/2019 8:42:49 PM</v>
      </c>
      <c r="J662" t="str">
        <f>"1"</f>
        <v>1</v>
      </c>
      <c r="K662" t="str">
        <f>"5"</f>
        <v>5</v>
      </c>
      <c r="L662" t="str">
        <f>"TN"</f>
        <v>TN</v>
      </c>
      <c r="M662" t="str">
        <f>"3.619"</f>
        <v>3.619</v>
      </c>
      <c r="N662" t="str">
        <f>"1.147"</f>
        <v>1.147</v>
      </c>
      <c r="O662" t="str">
        <f>"NPOC:9.133mg/L TN:1.101mg/L"</f>
        <v>NPOC:9.133mg/L TN:1.101mg/L</v>
      </c>
      <c r="P662">
        <v>0</v>
      </c>
      <c r="Q662" t="str">
        <f>"80"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D6E8-CBA3-5840-8760-8097EA3592FE}">
  <dimension ref="A1:Q662"/>
  <sheetViews>
    <sheetView tabSelected="1" workbookViewId="0">
      <selection activeCell="S24" sqref="S2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74</v>
      </c>
      <c r="L1" t="s">
        <v>0</v>
      </c>
      <c r="M1" t="s">
        <v>1</v>
      </c>
      <c r="N1" t="s">
        <v>2</v>
      </c>
      <c r="O1" t="s">
        <v>3</v>
      </c>
      <c r="P1" t="s">
        <v>74</v>
      </c>
    </row>
    <row r="2" spans="1:16" x14ac:dyDescent="0.2">
      <c r="A2" t="s">
        <v>5</v>
      </c>
      <c r="B2" t="s">
        <v>4</v>
      </c>
      <c r="C2" s="1">
        <v>8.7919999999999998</v>
      </c>
      <c r="D2" s="1">
        <v>2</v>
      </c>
      <c r="L2" t="s">
        <v>7</v>
      </c>
      <c r="M2" t="s">
        <v>6</v>
      </c>
      <c r="N2" s="1">
        <v>2.2069999999999999</v>
      </c>
      <c r="O2" s="1">
        <v>0.5</v>
      </c>
    </row>
    <row r="3" spans="1:16" x14ac:dyDescent="0.2">
      <c r="A3" t="s">
        <v>5</v>
      </c>
      <c r="B3" t="s">
        <v>4</v>
      </c>
      <c r="C3" s="1">
        <v>9.0879999999999992</v>
      </c>
      <c r="D3" s="1">
        <v>2</v>
      </c>
      <c r="L3" t="s">
        <v>7</v>
      </c>
      <c r="M3" t="s">
        <v>6</v>
      </c>
      <c r="N3" s="1">
        <v>2.222</v>
      </c>
      <c r="O3" s="1">
        <v>0.5</v>
      </c>
    </row>
    <row r="4" spans="1:16" x14ac:dyDescent="0.2">
      <c r="A4" t="s">
        <v>5</v>
      </c>
      <c r="B4" t="s">
        <v>4</v>
      </c>
      <c r="C4" s="1">
        <v>8.8079999999999998</v>
      </c>
      <c r="D4" s="1">
        <v>2</v>
      </c>
      <c r="L4" t="s">
        <v>7</v>
      </c>
      <c r="M4" t="s">
        <v>6</v>
      </c>
      <c r="N4" s="1">
        <v>2.3460000000000001</v>
      </c>
      <c r="O4" s="1">
        <v>0.5</v>
      </c>
    </row>
    <row r="5" spans="1:16" x14ac:dyDescent="0.2">
      <c r="A5" t="s">
        <v>5</v>
      </c>
      <c r="B5" t="s">
        <v>4</v>
      </c>
      <c r="C5" s="1">
        <v>24.67</v>
      </c>
      <c r="D5" s="1">
        <v>5</v>
      </c>
      <c r="L5" t="s">
        <v>7</v>
      </c>
      <c r="M5" t="s">
        <v>6</v>
      </c>
      <c r="N5" s="1">
        <v>4.3689999999999998</v>
      </c>
      <c r="O5" s="1">
        <v>1</v>
      </c>
    </row>
    <row r="6" spans="1:16" x14ac:dyDescent="0.2">
      <c r="A6" t="s">
        <v>5</v>
      </c>
      <c r="B6" t="s">
        <v>4</v>
      </c>
      <c r="C6" s="1">
        <v>24.74</v>
      </c>
      <c r="D6" s="1">
        <v>5</v>
      </c>
      <c r="L6" t="s">
        <v>7</v>
      </c>
      <c r="M6" t="s">
        <v>6</v>
      </c>
      <c r="N6" s="1">
        <v>3.9329999999999998</v>
      </c>
      <c r="O6" s="1">
        <v>1</v>
      </c>
    </row>
    <row r="7" spans="1:16" x14ac:dyDescent="0.2">
      <c r="A7" t="s">
        <v>5</v>
      </c>
      <c r="B7" t="s">
        <v>4</v>
      </c>
      <c r="C7" s="1">
        <v>24.56</v>
      </c>
      <c r="D7" s="1">
        <v>5</v>
      </c>
      <c r="L7" t="s">
        <v>7</v>
      </c>
      <c r="M7" t="s">
        <v>6</v>
      </c>
      <c r="N7" s="1">
        <v>4.0199999999999996</v>
      </c>
      <c r="O7" s="1">
        <v>1</v>
      </c>
    </row>
    <row r="8" spans="1:16" x14ac:dyDescent="0.2">
      <c r="A8" t="s">
        <v>5</v>
      </c>
      <c r="B8" t="s">
        <v>4</v>
      </c>
      <c r="C8" s="1">
        <v>48.98</v>
      </c>
      <c r="D8" s="1">
        <v>10</v>
      </c>
      <c r="L8" t="s">
        <v>7</v>
      </c>
      <c r="M8" t="s">
        <v>6</v>
      </c>
      <c r="N8" s="1">
        <v>6.7889999999999997</v>
      </c>
      <c r="O8" s="1">
        <v>1.667</v>
      </c>
    </row>
    <row r="9" spans="1:16" x14ac:dyDescent="0.2">
      <c r="A9" t="s">
        <v>5</v>
      </c>
      <c r="B9" t="s">
        <v>4</v>
      </c>
      <c r="C9" s="1">
        <v>48.69</v>
      </c>
      <c r="D9" s="1">
        <v>10</v>
      </c>
      <c r="L9" t="s">
        <v>7</v>
      </c>
      <c r="M9" t="s">
        <v>6</v>
      </c>
      <c r="N9" s="1">
        <v>7.3659999999999997</v>
      </c>
      <c r="O9" s="1">
        <v>1.667</v>
      </c>
    </row>
    <row r="10" spans="1:16" x14ac:dyDescent="0.2">
      <c r="A10" t="s">
        <v>5</v>
      </c>
      <c r="B10" t="s">
        <v>4</v>
      </c>
      <c r="C10" s="1">
        <v>50.18</v>
      </c>
      <c r="D10" s="1">
        <v>10</v>
      </c>
      <c r="L10" t="s">
        <v>7</v>
      </c>
      <c r="M10" t="s">
        <v>6</v>
      </c>
      <c r="N10" s="1">
        <v>7.46</v>
      </c>
      <c r="O10" s="1">
        <v>1.667</v>
      </c>
    </row>
    <row r="11" spans="1:16" x14ac:dyDescent="0.2">
      <c r="A11" t="s">
        <v>5</v>
      </c>
      <c r="B11" t="s">
        <v>4</v>
      </c>
      <c r="C11" s="1">
        <v>100</v>
      </c>
      <c r="D11" s="1">
        <v>20</v>
      </c>
      <c r="L11" t="s">
        <v>7</v>
      </c>
      <c r="M11" t="s">
        <v>6</v>
      </c>
      <c r="N11" s="1">
        <v>21.5</v>
      </c>
      <c r="O11" s="1">
        <v>5</v>
      </c>
    </row>
    <row r="12" spans="1:16" x14ac:dyDescent="0.2">
      <c r="A12" t="s">
        <v>5</v>
      </c>
      <c r="B12" t="s">
        <v>4</v>
      </c>
      <c r="C12" s="1">
        <v>99.02</v>
      </c>
      <c r="D12" s="1">
        <v>20</v>
      </c>
      <c r="L12" t="s">
        <v>7</v>
      </c>
      <c r="M12" t="s">
        <v>6</v>
      </c>
      <c r="N12" s="1">
        <v>21.27</v>
      </c>
      <c r="O12" s="1">
        <v>5</v>
      </c>
    </row>
    <row r="13" spans="1:16" x14ac:dyDescent="0.2">
      <c r="A13" t="s">
        <v>5</v>
      </c>
      <c r="B13" t="s">
        <v>4</v>
      </c>
      <c r="C13" s="1">
        <v>101.1</v>
      </c>
      <c r="D13" s="1">
        <v>20</v>
      </c>
      <c r="L13" t="s">
        <v>7</v>
      </c>
      <c r="M13" t="s">
        <v>6</v>
      </c>
      <c r="N13" s="1">
        <v>21.34</v>
      </c>
      <c r="O13" s="1">
        <v>5</v>
      </c>
    </row>
    <row r="14" spans="1:16" x14ac:dyDescent="0.2">
      <c r="A14" t="s">
        <v>5</v>
      </c>
      <c r="B14" t="s">
        <v>4</v>
      </c>
      <c r="C14" s="1">
        <v>250.8</v>
      </c>
      <c r="D14" s="1">
        <v>50</v>
      </c>
      <c r="L14" t="s">
        <v>7</v>
      </c>
      <c r="M14" t="s">
        <v>6</v>
      </c>
      <c r="N14" s="1">
        <v>53.79</v>
      </c>
      <c r="O14" s="1">
        <v>12.5</v>
      </c>
    </row>
    <row r="15" spans="1:16" x14ac:dyDescent="0.2">
      <c r="A15" t="s">
        <v>5</v>
      </c>
      <c r="B15" t="s">
        <v>4</v>
      </c>
      <c r="C15" s="1">
        <v>258.8</v>
      </c>
      <c r="D15" s="1">
        <v>50</v>
      </c>
      <c r="L15" t="s">
        <v>7</v>
      </c>
      <c r="M15" t="s">
        <v>6</v>
      </c>
      <c r="N15" s="1">
        <v>55.82</v>
      </c>
      <c r="O15" s="1">
        <v>12.5</v>
      </c>
    </row>
    <row r="16" spans="1:16" x14ac:dyDescent="0.2">
      <c r="A16" t="s">
        <v>5</v>
      </c>
      <c r="B16" t="s">
        <v>4</v>
      </c>
      <c r="C16" s="1">
        <v>254.8</v>
      </c>
      <c r="D16" s="1">
        <v>50</v>
      </c>
      <c r="L16" t="s">
        <v>7</v>
      </c>
      <c r="M16" t="s">
        <v>6</v>
      </c>
      <c r="N16" s="1">
        <v>55.4</v>
      </c>
      <c r="O16" s="1">
        <v>12.5</v>
      </c>
    </row>
    <row r="17" spans="1:17" x14ac:dyDescent="0.2">
      <c r="A17" t="s">
        <v>5</v>
      </c>
      <c r="B17" t="s">
        <v>4</v>
      </c>
      <c r="C17" s="1">
        <v>491.6</v>
      </c>
      <c r="D17" s="1">
        <v>100</v>
      </c>
      <c r="L17" t="s">
        <v>7</v>
      </c>
      <c r="M17" t="s">
        <v>6</v>
      </c>
      <c r="N17" s="1">
        <v>112.8</v>
      </c>
      <c r="O17" s="1">
        <v>25</v>
      </c>
    </row>
    <row r="18" spans="1:17" x14ac:dyDescent="0.2">
      <c r="A18" t="s">
        <v>5</v>
      </c>
      <c r="B18" t="s">
        <v>4</v>
      </c>
      <c r="C18" s="1">
        <v>484.2</v>
      </c>
      <c r="D18" s="1">
        <v>100</v>
      </c>
      <c r="L18" t="s">
        <v>7</v>
      </c>
      <c r="M18" t="s">
        <v>6</v>
      </c>
      <c r="N18" s="1">
        <v>114.3</v>
      </c>
      <c r="O18" s="1">
        <v>25</v>
      </c>
    </row>
    <row r="19" spans="1:17" x14ac:dyDescent="0.2">
      <c r="A19" t="s">
        <v>5</v>
      </c>
      <c r="B19" t="s">
        <v>4</v>
      </c>
      <c r="C19" s="1">
        <v>483.6</v>
      </c>
      <c r="D19" s="1">
        <v>100</v>
      </c>
      <c r="L19" t="s">
        <v>7</v>
      </c>
      <c r="M19" t="s">
        <v>6</v>
      </c>
      <c r="N19" s="1">
        <v>114.8</v>
      </c>
      <c r="O19" s="1">
        <v>25</v>
      </c>
    </row>
    <row r="20" spans="1:17" x14ac:dyDescent="0.2">
      <c r="A20" t="s">
        <v>8</v>
      </c>
      <c r="B20" t="s">
        <v>4</v>
      </c>
      <c r="C20" s="1">
        <v>0.42880000000000001</v>
      </c>
      <c r="D20" s="1">
        <v>-0.23719999999999999</v>
      </c>
      <c r="E20">
        <f t="shared" ref="E20:E22" si="0">(C20-1.5891)/4.891</f>
        <v>-0.23723164996933141</v>
      </c>
      <c r="L20" t="s">
        <v>8</v>
      </c>
      <c r="M20" t="s">
        <v>6</v>
      </c>
      <c r="N20" s="1">
        <v>0</v>
      </c>
      <c r="O20" s="1">
        <v>0.15440000000000001</v>
      </c>
      <c r="P20">
        <f>(N20+0.7037)/4.5576</f>
        <v>0.15440143935404599</v>
      </c>
    </row>
    <row r="21" spans="1:17" x14ac:dyDescent="0.2">
      <c r="A21" t="s">
        <v>8</v>
      </c>
      <c r="B21" t="s">
        <v>4</v>
      </c>
      <c r="C21" s="1">
        <v>0.39200000000000002</v>
      </c>
      <c r="D21" s="1">
        <v>-0.24479999999999999</v>
      </c>
      <c r="E21">
        <f t="shared" si="0"/>
        <v>-0.24475567368636267</v>
      </c>
      <c r="L21" t="s">
        <v>8</v>
      </c>
      <c r="M21" t="s">
        <v>6</v>
      </c>
      <c r="N21" s="1">
        <v>0</v>
      </c>
      <c r="O21" s="1">
        <v>0.15440000000000001</v>
      </c>
      <c r="P21">
        <f t="shared" ref="P21:P84" si="1">(N21+0.7037)/4.5576</f>
        <v>0.15440143935404599</v>
      </c>
    </row>
    <row r="22" spans="1:17" x14ac:dyDescent="0.2">
      <c r="A22" t="s">
        <v>8</v>
      </c>
      <c r="B22" t="s">
        <v>4</v>
      </c>
      <c r="C22" s="1">
        <v>0.45350000000000001</v>
      </c>
      <c r="D22" s="1">
        <v>-0.23219999999999999</v>
      </c>
      <c r="E22">
        <f t="shared" si="0"/>
        <v>-0.23218155796360662</v>
      </c>
      <c r="L22" t="s">
        <v>8</v>
      </c>
      <c r="M22" t="s">
        <v>6</v>
      </c>
      <c r="N22" s="1">
        <v>0</v>
      </c>
      <c r="O22" s="1">
        <v>0.15440000000000001</v>
      </c>
      <c r="P22">
        <f t="shared" si="1"/>
        <v>0.15440143935404599</v>
      </c>
    </row>
    <row r="23" spans="1:17" x14ac:dyDescent="0.2">
      <c r="A23" t="s">
        <v>9</v>
      </c>
      <c r="B23" t="s">
        <v>4</v>
      </c>
      <c r="C23" s="1">
        <v>29.36</v>
      </c>
      <c r="D23" s="1">
        <v>22.71</v>
      </c>
      <c r="E23">
        <f>(C23-1.5891)/4.891</f>
        <v>5.6779595174810877</v>
      </c>
      <c r="F23">
        <f>E23*4</f>
        <v>22.711838069924351</v>
      </c>
      <c r="L23" t="s">
        <v>9</v>
      </c>
      <c r="M23" t="s">
        <v>6</v>
      </c>
      <c r="N23" s="1">
        <v>21.89</v>
      </c>
      <c r="O23" s="1">
        <v>24.63</v>
      </c>
      <c r="P23">
        <f t="shared" si="1"/>
        <v>4.9573679129366335</v>
      </c>
      <c r="Q23">
        <f>P23*5</f>
        <v>24.786839564683167</v>
      </c>
    </row>
    <row r="24" spans="1:17" x14ac:dyDescent="0.2">
      <c r="A24" t="s">
        <v>9</v>
      </c>
      <c r="B24" t="s">
        <v>4</v>
      </c>
      <c r="C24" s="1">
        <v>28.45</v>
      </c>
      <c r="D24" s="1">
        <v>21.97</v>
      </c>
      <c r="E24">
        <f t="shared" ref="E24:E87" si="2">(C24-1.5891)/4.891</f>
        <v>5.4919034962175424</v>
      </c>
      <c r="F24">
        <f t="shared" ref="F24:F25" si="3">E24*4</f>
        <v>21.967613984870169</v>
      </c>
      <c r="L24" t="s">
        <v>9</v>
      </c>
      <c r="M24" t="s">
        <v>6</v>
      </c>
      <c r="N24" s="1">
        <v>21.09</v>
      </c>
      <c r="O24" s="1">
        <v>23.75</v>
      </c>
      <c r="P24">
        <f t="shared" si="1"/>
        <v>4.7818369317184484</v>
      </c>
      <c r="Q24">
        <f t="shared" ref="Q24:Q25" si="4">P24*5</f>
        <v>23.909184658592242</v>
      </c>
    </row>
    <row r="25" spans="1:17" x14ac:dyDescent="0.2">
      <c r="A25" t="s">
        <v>9</v>
      </c>
      <c r="B25" t="s">
        <v>4</v>
      </c>
      <c r="C25" s="1">
        <v>29.52</v>
      </c>
      <c r="D25" s="1">
        <v>22.84</v>
      </c>
      <c r="E25">
        <f t="shared" si="2"/>
        <v>5.7106726640768759</v>
      </c>
      <c r="F25">
        <f t="shared" si="3"/>
        <v>22.842690656307504</v>
      </c>
      <c r="L25" t="s">
        <v>9</v>
      </c>
      <c r="M25" t="s">
        <v>6</v>
      </c>
      <c r="N25" s="1">
        <v>21.47</v>
      </c>
      <c r="O25" s="1">
        <v>24.17</v>
      </c>
      <c r="P25">
        <f t="shared" si="1"/>
        <v>4.8652141477970865</v>
      </c>
      <c r="Q25">
        <f t="shared" si="4"/>
        <v>24.326070738985432</v>
      </c>
    </row>
    <row r="26" spans="1:17" x14ac:dyDescent="0.2">
      <c r="A26" t="s">
        <v>10</v>
      </c>
      <c r="B26" t="s">
        <v>4</v>
      </c>
      <c r="C26" s="1">
        <v>3.6930000000000001</v>
      </c>
      <c r="D26" s="1">
        <v>0.43020000000000003</v>
      </c>
      <c r="E26">
        <f t="shared" si="2"/>
        <v>0.43015743201799228</v>
      </c>
      <c r="L26" t="s">
        <v>10</v>
      </c>
      <c r="M26" t="s">
        <v>6</v>
      </c>
      <c r="N26" s="1">
        <v>0</v>
      </c>
      <c r="O26" s="1">
        <v>0.15440000000000001</v>
      </c>
      <c r="P26">
        <f t="shared" si="1"/>
        <v>0.15440143935404599</v>
      </c>
    </row>
    <row r="27" spans="1:17" x14ac:dyDescent="0.2">
      <c r="A27" t="s">
        <v>10</v>
      </c>
      <c r="B27" t="s">
        <v>4</v>
      </c>
      <c r="C27" s="1">
        <v>3.7869999999999999</v>
      </c>
      <c r="D27" s="1">
        <v>0.44940000000000002</v>
      </c>
      <c r="E27">
        <f t="shared" si="2"/>
        <v>0.44937640564301773</v>
      </c>
      <c r="L27" t="s">
        <v>10</v>
      </c>
      <c r="M27" t="s">
        <v>6</v>
      </c>
      <c r="N27" s="1">
        <v>0</v>
      </c>
      <c r="O27" s="1">
        <v>0.15440000000000001</v>
      </c>
      <c r="P27">
        <f t="shared" si="1"/>
        <v>0.15440143935404599</v>
      </c>
    </row>
    <row r="28" spans="1:17" x14ac:dyDescent="0.2">
      <c r="A28" t="s">
        <v>10</v>
      </c>
      <c r="B28" t="s">
        <v>4</v>
      </c>
      <c r="C28" s="1">
        <v>3.8170000000000002</v>
      </c>
      <c r="D28" s="1">
        <v>0.45550000000000002</v>
      </c>
      <c r="E28">
        <f t="shared" si="2"/>
        <v>0.45551012062972807</v>
      </c>
      <c r="L28" t="s">
        <v>10</v>
      </c>
      <c r="M28" t="s">
        <v>6</v>
      </c>
      <c r="N28" s="1">
        <v>0</v>
      </c>
      <c r="O28" s="1">
        <v>0.15440000000000001</v>
      </c>
      <c r="P28">
        <f t="shared" si="1"/>
        <v>0.15440143935404599</v>
      </c>
    </row>
    <row r="29" spans="1:17" x14ac:dyDescent="0.2">
      <c r="A29" t="s">
        <v>11</v>
      </c>
      <c r="B29" t="s">
        <v>4</v>
      </c>
      <c r="C29" s="1">
        <v>23.74</v>
      </c>
      <c r="D29" s="1">
        <v>4.5289999999999999</v>
      </c>
      <c r="E29">
        <f t="shared" si="2"/>
        <v>4.5289102433040274</v>
      </c>
      <c r="L29" t="s">
        <v>11</v>
      </c>
      <c r="M29" t="s">
        <v>6</v>
      </c>
      <c r="N29" s="1">
        <v>1.01</v>
      </c>
      <c r="O29" s="1">
        <v>0.43140000000000001</v>
      </c>
      <c r="P29">
        <f t="shared" si="1"/>
        <v>0.37600930314200459</v>
      </c>
    </row>
    <row r="30" spans="1:17" x14ac:dyDescent="0.2">
      <c r="A30" t="s">
        <v>11</v>
      </c>
      <c r="B30" t="s">
        <v>4</v>
      </c>
      <c r="C30" s="1">
        <v>23.73</v>
      </c>
      <c r="D30" s="1">
        <v>4.5270000000000001</v>
      </c>
      <c r="E30">
        <f t="shared" si="2"/>
        <v>4.5268656716417919</v>
      </c>
      <c r="L30" t="s">
        <v>11</v>
      </c>
      <c r="M30" t="s">
        <v>6</v>
      </c>
      <c r="N30" s="1">
        <v>1.0029999999999999</v>
      </c>
      <c r="O30" s="1">
        <v>0.42949999999999999</v>
      </c>
      <c r="P30">
        <f t="shared" si="1"/>
        <v>0.37447340705634541</v>
      </c>
    </row>
    <row r="31" spans="1:17" x14ac:dyDescent="0.2">
      <c r="A31" t="s">
        <v>11</v>
      </c>
      <c r="B31" t="s">
        <v>4</v>
      </c>
      <c r="C31" s="1">
        <v>23.53</v>
      </c>
      <c r="D31" s="1">
        <v>4.4859999999999998</v>
      </c>
      <c r="E31">
        <f t="shared" si="2"/>
        <v>4.4859742383970564</v>
      </c>
      <c r="L31" t="s">
        <v>11</v>
      </c>
      <c r="M31" t="s">
        <v>6</v>
      </c>
      <c r="N31" s="1">
        <v>1.5449999999999999</v>
      </c>
      <c r="O31" s="1">
        <v>0.57809999999999995</v>
      </c>
      <c r="P31">
        <f t="shared" si="1"/>
        <v>0.49339564683166581</v>
      </c>
    </row>
    <row r="32" spans="1:17" x14ac:dyDescent="0.2">
      <c r="A32" t="s">
        <v>12</v>
      </c>
      <c r="B32" t="s">
        <v>4</v>
      </c>
      <c r="C32" s="1">
        <v>19.38</v>
      </c>
      <c r="D32" s="1">
        <v>3.6379999999999999</v>
      </c>
      <c r="E32">
        <f t="shared" si="2"/>
        <v>3.6374769985688</v>
      </c>
      <c r="L32" t="s">
        <v>12</v>
      </c>
      <c r="M32" t="s">
        <v>6</v>
      </c>
      <c r="N32" s="1">
        <v>1.198</v>
      </c>
      <c r="O32" s="1">
        <v>0.48299999999999998</v>
      </c>
      <c r="P32">
        <f t="shared" si="1"/>
        <v>0.41725908372827802</v>
      </c>
    </row>
    <row r="33" spans="1:16" x14ac:dyDescent="0.2">
      <c r="A33" t="s">
        <v>12</v>
      </c>
      <c r="B33" t="s">
        <v>4</v>
      </c>
      <c r="C33" s="1">
        <v>19.059999999999999</v>
      </c>
      <c r="D33" s="1">
        <v>3.5720000000000001</v>
      </c>
      <c r="E33">
        <f t="shared" si="2"/>
        <v>3.5720507053772237</v>
      </c>
      <c r="L33" t="s">
        <v>12</v>
      </c>
      <c r="M33" t="s">
        <v>6</v>
      </c>
      <c r="N33" s="1">
        <v>1.347</v>
      </c>
      <c r="O33" s="1">
        <v>0.52380000000000004</v>
      </c>
      <c r="P33">
        <f t="shared" si="1"/>
        <v>0.449951728980165</v>
      </c>
    </row>
    <row r="34" spans="1:16" x14ac:dyDescent="0.2">
      <c r="A34" t="s">
        <v>12</v>
      </c>
      <c r="B34" t="s">
        <v>4</v>
      </c>
      <c r="C34" s="1">
        <v>19.13</v>
      </c>
      <c r="D34" s="1">
        <v>3.5859999999999999</v>
      </c>
      <c r="E34">
        <f t="shared" si="2"/>
        <v>3.586362707012881</v>
      </c>
      <c r="L34" t="s">
        <v>12</v>
      </c>
      <c r="M34" t="s">
        <v>6</v>
      </c>
      <c r="N34" s="1">
        <v>1.379</v>
      </c>
      <c r="O34" s="1">
        <v>0.53259999999999996</v>
      </c>
      <c r="P34">
        <f t="shared" si="1"/>
        <v>0.45697296822889238</v>
      </c>
    </row>
    <row r="35" spans="1:16" x14ac:dyDescent="0.2">
      <c r="A35" t="s">
        <v>13</v>
      </c>
      <c r="B35" t="s">
        <v>4</v>
      </c>
      <c r="C35" s="1">
        <v>20.329999999999998</v>
      </c>
      <c r="D35" s="1">
        <v>3.8319999999999999</v>
      </c>
      <c r="E35">
        <f t="shared" si="2"/>
        <v>3.8317113064812922</v>
      </c>
      <c r="L35" t="s">
        <v>13</v>
      </c>
      <c r="M35" t="s">
        <v>6</v>
      </c>
      <c r="N35" s="1">
        <v>0.73319999999999996</v>
      </c>
      <c r="O35" s="1">
        <v>0.35549999999999998</v>
      </c>
      <c r="P35">
        <f t="shared" si="1"/>
        <v>0.31527558364051256</v>
      </c>
    </row>
    <row r="36" spans="1:16" x14ac:dyDescent="0.2">
      <c r="A36" t="s">
        <v>13</v>
      </c>
      <c r="B36" t="s">
        <v>4</v>
      </c>
      <c r="C36" s="1">
        <v>20.07</v>
      </c>
      <c r="D36" s="1">
        <v>3.7789999999999999</v>
      </c>
      <c r="E36">
        <f t="shared" si="2"/>
        <v>3.7785524432631368</v>
      </c>
      <c r="L36" t="s">
        <v>13</v>
      </c>
      <c r="M36" t="s">
        <v>6</v>
      </c>
      <c r="N36" s="1">
        <v>0.98519999999999996</v>
      </c>
      <c r="O36" s="1">
        <v>0.42459999999999998</v>
      </c>
      <c r="P36">
        <f t="shared" si="1"/>
        <v>0.37056784272424081</v>
      </c>
    </row>
    <row r="37" spans="1:16" x14ac:dyDescent="0.2">
      <c r="A37" t="s">
        <v>13</v>
      </c>
      <c r="B37" t="s">
        <v>4</v>
      </c>
      <c r="C37" s="1">
        <v>19.510000000000002</v>
      </c>
      <c r="D37" s="1">
        <v>3.6640000000000001</v>
      </c>
      <c r="E37">
        <f t="shared" si="2"/>
        <v>3.6640564301778782</v>
      </c>
      <c r="L37" t="s">
        <v>13</v>
      </c>
      <c r="M37" t="s">
        <v>6</v>
      </c>
      <c r="N37" s="1">
        <v>0.77300000000000002</v>
      </c>
      <c r="O37" s="1">
        <v>0.3664</v>
      </c>
      <c r="P37">
        <f t="shared" si="1"/>
        <v>0.32400824995611727</v>
      </c>
    </row>
    <row r="38" spans="1:16" x14ac:dyDescent="0.2">
      <c r="A38" t="s">
        <v>14</v>
      </c>
      <c r="B38" t="s">
        <v>4</v>
      </c>
      <c r="C38" s="1">
        <v>111.9</v>
      </c>
      <c r="D38" s="1">
        <v>22.55</v>
      </c>
      <c r="E38">
        <f t="shared" si="2"/>
        <v>22.553854017583316</v>
      </c>
      <c r="L38" t="s">
        <v>14</v>
      </c>
      <c r="M38" t="s">
        <v>6</v>
      </c>
      <c r="N38" s="1">
        <v>13.72</v>
      </c>
      <c r="O38" s="1">
        <v>3.9169999999999998</v>
      </c>
      <c r="P38">
        <f t="shared" si="1"/>
        <v>3.1647577672459191</v>
      </c>
    </row>
    <row r="39" spans="1:16" x14ac:dyDescent="0.2">
      <c r="A39" t="s">
        <v>14</v>
      </c>
      <c r="B39" t="s">
        <v>4</v>
      </c>
      <c r="C39" s="1">
        <v>112.1</v>
      </c>
      <c r="D39" s="1">
        <v>22.59</v>
      </c>
      <c r="E39">
        <f t="shared" si="2"/>
        <v>22.59474545082805</v>
      </c>
      <c r="L39" t="s">
        <v>14</v>
      </c>
      <c r="M39" t="s">
        <v>6</v>
      </c>
      <c r="N39" s="1">
        <v>13.54</v>
      </c>
      <c r="O39" s="1">
        <v>3.8679999999999999</v>
      </c>
      <c r="P39">
        <f t="shared" si="1"/>
        <v>3.125263296471827</v>
      </c>
    </row>
    <row r="40" spans="1:16" x14ac:dyDescent="0.2">
      <c r="A40" t="s">
        <v>14</v>
      </c>
      <c r="B40" t="s">
        <v>4</v>
      </c>
      <c r="C40" s="1">
        <v>113</v>
      </c>
      <c r="D40" s="1">
        <v>22.78</v>
      </c>
      <c r="E40">
        <f t="shared" si="2"/>
        <v>22.778756900429361</v>
      </c>
      <c r="L40" t="s">
        <v>14</v>
      </c>
      <c r="M40" t="s">
        <v>6</v>
      </c>
      <c r="N40" s="1">
        <v>13.3</v>
      </c>
      <c r="O40" s="1">
        <v>3.802</v>
      </c>
      <c r="P40">
        <f t="shared" si="1"/>
        <v>3.0726040021063721</v>
      </c>
    </row>
    <row r="41" spans="1:16" x14ac:dyDescent="0.2">
      <c r="A41" t="s">
        <v>15</v>
      </c>
      <c r="B41" t="s">
        <v>4</v>
      </c>
      <c r="C41" s="1">
        <v>108.2</v>
      </c>
      <c r="D41" s="1">
        <v>21.8</v>
      </c>
      <c r="E41">
        <f t="shared" si="2"/>
        <v>21.797362502555714</v>
      </c>
      <c r="L41" t="s">
        <v>15</v>
      </c>
      <c r="M41" t="s">
        <v>6</v>
      </c>
      <c r="N41" s="1">
        <v>13.77</v>
      </c>
      <c r="O41" s="1">
        <v>3.931</v>
      </c>
      <c r="P41">
        <f t="shared" si="1"/>
        <v>3.1757284535720554</v>
      </c>
    </row>
    <row r="42" spans="1:16" x14ac:dyDescent="0.2">
      <c r="A42" t="s">
        <v>15</v>
      </c>
      <c r="B42" t="s">
        <v>4</v>
      </c>
      <c r="C42" s="1">
        <v>106.4</v>
      </c>
      <c r="D42" s="1">
        <v>21.43</v>
      </c>
      <c r="E42">
        <f t="shared" si="2"/>
        <v>21.4293396033531</v>
      </c>
      <c r="L42" t="s">
        <v>15</v>
      </c>
      <c r="M42" t="s">
        <v>6</v>
      </c>
      <c r="N42" s="1">
        <v>13.64</v>
      </c>
      <c r="O42" s="1">
        <v>3.895</v>
      </c>
      <c r="P42">
        <f t="shared" si="1"/>
        <v>3.1472046691241005</v>
      </c>
    </row>
    <row r="43" spans="1:16" x14ac:dyDescent="0.2">
      <c r="A43" t="s">
        <v>15</v>
      </c>
      <c r="B43" t="s">
        <v>4</v>
      </c>
      <c r="C43" s="1">
        <v>110.9</v>
      </c>
      <c r="D43" s="1">
        <v>22.35</v>
      </c>
      <c r="E43">
        <f t="shared" si="2"/>
        <v>22.349396851359639</v>
      </c>
      <c r="L43" t="s">
        <v>15</v>
      </c>
      <c r="M43" t="s">
        <v>6</v>
      </c>
      <c r="N43" s="1">
        <v>13.86</v>
      </c>
      <c r="O43" s="1">
        <v>3.956</v>
      </c>
      <c r="P43">
        <f t="shared" si="1"/>
        <v>3.1954756889591009</v>
      </c>
    </row>
    <row r="44" spans="1:16" x14ac:dyDescent="0.2">
      <c r="A44" t="s">
        <v>16</v>
      </c>
      <c r="B44" t="s">
        <v>4</v>
      </c>
      <c r="C44" s="1">
        <v>107.2</v>
      </c>
      <c r="D44" s="1">
        <v>21.59</v>
      </c>
      <c r="E44">
        <f t="shared" si="2"/>
        <v>21.592905336332038</v>
      </c>
      <c r="L44" t="s">
        <v>16</v>
      </c>
      <c r="M44" t="s">
        <v>6</v>
      </c>
      <c r="N44" s="1">
        <v>13.29</v>
      </c>
      <c r="O44" s="1">
        <v>3.7989999999999999</v>
      </c>
      <c r="P44">
        <f t="shared" si="1"/>
        <v>3.0704098648411442</v>
      </c>
    </row>
    <row r="45" spans="1:16" x14ac:dyDescent="0.2">
      <c r="A45" t="s">
        <v>16</v>
      </c>
      <c r="B45" t="s">
        <v>4</v>
      </c>
      <c r="C45" s="1">
        <v>106.5</v>
      </c>
      <c r="D45" s="1">
        <v>21.45</v>
      </c>
      <c r="E45">
        <f t="shared" si="2"/>
        <v>21.449785319975465</v>
      </c>
      <c r="L45" t="s">
        <v>16</v>
      </c>
      <c r="M45" t="s">
        <v>6</v>
      </c>
      <c r="N45" s="1">
        <v>13.43</v>
      </c>
      <c r="O45" s="1">
        <v>3.8380000000000001</v>
      </c>
      <c r="P45">
        <f t="shared" si="1"/>
        <v>3.101127786554327</v>
      </c>
    </row>
    <row r="46" spans="1:16" x14ac:dyDescent="0.2">
      <c r="A46" t="s">
        <v>16</v>
      </c>
      <c r="B46" t="s">
        <v>4</v>
      </c>
      <c r="C46" s="1">
        <v>107</v>
      </c>
      <c r="D46" s="1">
        <v>21.55</v>
      </c>
      <c r="E46">
        <f t="shared" si="2"/>
        <v>21.552013903087303</v>
      </c>
      <c r="L46" t="s">
        <v>16</v>
      </c>
      <c r="M46" t="s">
        <v>6</v>
      </c>
      <c r="N46" s="1">
        <v>13.03</v>
      </c>
      <c r="O46" s="1">
        <v>3.7280000000000002</v>
      </c>
      <c r="P46">
        <f t="shared" si="1"/>
        <v>3.013362295945234</v>
      </c>
    </row>
    <row r="47" spans="1:16" x14ac:dyDescent="0.2">
      <c r="A47" t="s">
        <v>17</v>
      </c>
      <c r="B47" t="s">
        <v>4</v>
      </c>
      <c r="C47" s="1">
        <v>266</v>
      </c>
      <c r="D47" s="1">
        <v>54.06</v>
      </c>
      <c r="E47">
        <f t="shared" si="2"/>
        <v>54.060703332651812</v>
      </c>
      <c r="L47" t="s">
        <v>17</v>
      </c>
      <c r="M47" t="s">
        <v>6</v>
      </c>
      <c r="N47" s="1">
        <v>33.950000000000003</v>
      </c>
      <c r="O47" s="1">
        <v>9.4659999999999993</v>
      </c>
      <c r="P47">
        <f t="shared" si="1"/>
        <v>7.603497454800773</v>
      </c>
    </row>
    <row r="48" spans="1:16" x14ac:dyDescent="0.2">
      <c r="A48" t="s">
        <v>17</v>
      </c>
      <c r="B48" t="s">
        <v>4</v>
      </c>
      <c r="C48" s="1">
        <v>273.2</v>
      </c>
      <c r="D48" s="1">
        <v>55.53</v>
      </c>
      <c r="E48">
        <f t="shared" si="2"/>
        <v>55.532794929462284</v>
      </c>
      <c r="L48" t="s">
        <v>17</v>
      </c>
      <c r="M48" t="s">
        <v>6</v>
      </c>
      <c r="N48" s="1">
        <v>34.01</v>
      </c>
      <c r="O48" s="1">
        <v>9.4819999999999993</v>
      </c>
      <c r="P48">
        <f t="shared" si="1"/>
        <v>7.6166622783921358</v>
      </c>
    </row>
    <row r="49" spans="1:16" x14ac:dyDescent="0.2">
      <c r="A49" t="s">
        <v>17</v>
      </c>
      <c r="B49" t="s">
        <v>4</v>
      </c>
      <c r="C49" s="1">
        <v>268.60000000000002</v>
      </c>
      <c r="D49" s="1">
        <v>54.59</v>
      </c>
      <c r="E49">
        <f t="shared" si="2"/>
        <v>54.592291964833379</v>
      </c>
      <c r="L49" t="s">
        <v>17</v>
      </c>
      <c r="M49" t="s">
        <v>6</v>
      </c>
      <c r="N49" s="1">
        <v>34.58</v>
      </c>
      <c r="O49" s="1">
        <v>9.6389999999999993</v>
      </c>
      <c r="P49">
        <f t="shared" si="1"/>
        <v>7.7417281025100921</v>
      </c>
    </row>
    <row r="50" spans="1:16" x14ac:dyDescent="0.2">
      <c r="A50" t="s">
        <v>18</v>
      </c>
      <c r="B50" t="s">
        <v>4</v>
      </c>
      <c r="C50" s="1">
        <v>269.2</v>
      </c>
      <c r="D50" s="1">
        <v>54.72</v>
      </c>
      <c r="E50">
        <f t="shared" si="2"/>
        <v>54.714966264567579</v>
      </c>
      <c r="L50" t="s">
        <v>18</v>
      </c>
      <c r="M50" t="s">
        <v>6</v>
      </c>
      <c r="N50" s="1">
        <v>35.049999999999997</v>
      </c>
      <c r="O50" s="1">
        <v>9.7669999999999995</v>
      </c>
      <c r="P50">
        <f t="shared" si="1"/>
        <v>7.8448525539757759</v>
      </c>
    </row>
    <row r="51" spans="1:16" x14ac:dyDescent="0.2">
      <c r="A51" t="s">
        <v>18</v>
      </c>
      <c r="B51" t="s">
        <v>4</v>
      </c>
      <c r="C51" s="1">
        <v>279.60000000000002</v>
      </c>
      <c r="D51" s="1">
        <v>56.84</v>
      </c>
      <c r="E51">
        <f t="shared" si="2"/>
        <v>56.841320793293818</v>
      </c>
      <c r="L51" t="s">
        <v>18</v>
      </c>
      <c r="M51" t="s">
        <v>6</v>
      </c>
      <c r="N51" s="1">
        <v>36.08</v>
      </c>
      <c r="O51" s="1">
        <v>10.050000000000001</v>
      </c>
      <c r="P51">
        <f t="shared" si="1"/>
        <v>8.0708486922941898</v>
      </c>
    </row>
    <row r="52" spans="1:16" x14ac:dyDescent="0.2">
      <c r="A52" t="s">
        <v>18</v>
      </c>
      <c r="B52" t="s">
        <v>4</v>
      </c>
      <c r="C52" s="1">
        <v>276.3</v>
      </c>
      <c r="D52" s="1">
        <v>56.17</v>
      </c>
      <c r="E52">
        <f t="shared" si="2"/>
        <v>56.166612144755682</v>
      </c>
      <c r="L52" t="s">
        <v>18</v>
      </c>
      <c r="M52" t="s">
        <v>6</v>
      </c>
      <c r="N52" s="1">
        <v>36.42</v>
      </c>
      <c r="O52" s="1">
        <v>10.14</v>
      </c>
      <c r="P52">
        <f t="shared" si="1"/>
        <v>8.1454493593119182</v>
      </c>
    </row>
    <row r="53" spans="1:16" x14ac:dyDescent="0.2">
      <c r="A53" t="s">
        <v>19</v>
      </c>
      <c r="B53" t="s">
        <v>4</v>
      </c>
      <c r="C53" s="1">
        <v>276.2</v>
      </c>
      <c r="D53" s="1">
        <v>56.15</v>
      </c>
      <c r="E53">
        <f t="shared" si="2"/>
        <v>56.146166428133306</v>
      </c>
      <c r="L53" t="s">
        <v>19</v>
      </c>
      <c r="M53" t="s">
        <v>6</v>
      </c>
      <c r="N53" s="1">
        <v>36.03</v>
      </c>
      <c r="O53" s="1">
        <v>10.039999999999999</v>
      </c>
      <c r="P53">
        <f t="shared" si="1"/>
        <v>8.0598780059680539</v>
      </c>
    </row>
    <row r="54" spans="1:16" x14ac:dyDescent="0.2">
      <c r="A54" t="s">
        <v>19</v>
      </c>
      <c r="B54" t="s">
        <v>4</v>
      </c>
      <c r="C54" s="1">
        <v>282.60000000000002</v>
      </c>
      <c r="D54" s="1">
        <v>57.46</v>
      </c>
      <c r="E54">
        <f t="shared" si="2"/>
        <v>57.454692291964847</v>
      </c>
      <c r="L54" t="s">
        <v>19</v>
      </c>
      <c r="M54" t="s">
        <v>6</v>
      </c>
      <c r="N54" s="1">
        <v>35.770000000000003</v>
      </c>
      <c r="O54" s="1">
        <v>9.9649999999999999</v>
      </c>
      <c r="P54">
        <f t="shared" si="1"/>
        <v>8.0028304370721433</v>
      </c>
    </row>
    <row r="55" spans="1:16" x14ac:dyDescent="0.2">
      <c r="A55" t="s">
        <v>19</v>
      </c>
      <c r="B55" t="s">
        <v>4</v>
      </c>
      <c r="C55" s="1">
        <v>284.39999999999998</v>
      </c>
      <c r="D55" s="1">
        <v>57.82</v>
      </c>
      <c r="E55">
        <f t="shared" si="2"/>
        <v>57.822715191167454</v>
      </c>
      <c r="L55" t="s">
        <v>19</v>
      </c>
      <c r="M55" t="s">
        <v>6</v>
      </c>
      <c r="N55" s="1">
        <v>34.82</v>
      </c>
      <c r="O55" s="1">
        <v>9.7040000000000006</v>
      </c>
      <c r="P55">
        <f t="shared" si="1"/>
        <v>7.7943873968755479</v>
      </c>
    </row>
    <row r="56" spans="1:16" x14ac:dyDescent="0.2">
      <c r="A56" t="s">
        <v>20</v>
      </c>
      <c r="B56" t="s">
        <v>4</v>
      </c>
      <c r="C56" s="1">
        <v>78.010000000000005</v>
      </c>
      <c r="D56" s="1">
        <v>15.62</v>
      </c>
      <c r="E56">
        <f t="shared" si="2"/>
        <v>15.624800654262932</v>
      </c>
      <c r="L56" t="s">
        <v>20</v>
      </c>
      <c r="M56" t="s">
        <v>6</v>
      </c>
      <c r="N56" s="1">
        <v>8.1989999999999998</v>
      </c>
      <c r="O56" s="1">
        <v>2.403</v>
      </c>
      <c r="P56">
        <f t="shared" si="1"/>
        <v>1.9533745831139195</v>
      </c>
    </row>
    <row r="57" spans="1:16" x14ac:dyDescent="0.2">
      <c r="A57" t="s">
        <v>20</v>
      </c>
      <c r="B57" t="s">
        <v>4</v>
      </c>
      <c r="C57" s="1">
        <v>79.94</v>
      </c>
      <c r="D57" s="1">
        <v>16.02</v>
      </c>
      <c r="E57">
        <f t="shared" si="2"/>
        <v>16.019402985074628</v>
      </c>
      <c r="L57" t="s">
        <v>20</v>
      </c>
      <c r="M57" t="s">
        <v>6</v>
      </c>
      <c r="N57" s="1">
        <v>8.44</v>
      </c>
      <c r="O57" s="1">
        <v>2.4689999999999999</v>
      </c>
      <c r="P57">
        <f t="shared" si="1"/>
        <v>2.0062532912058977</v>
      </c>
    </row>
    <row r="58" spans="1:16" x14ac:dyDescent="0.2">
      <c r="A58" t="s">
        <v>20</v>
      </c>
      <c r="B58" t="s">
        <v>4</v>
      </c>
      <c r="C58" s="1">
        <v>78.989999999999995</v>
      </c>
      <c r="D58" s="1">
        <v>15.83</v>
      </c>
      <c r="E58">
        <f t="shared" si="2"/>
        <v>15.825168677162132</v>
      </c>
      <c r="L58" t="s">
        <v>20</v>
      </c>
      <c r="M58" t="s">
        <v>6</v>
      </c>
      <c r="N58" s="1">
        <v>8.4870000000000001</v>
      </c>
      <c r="O58" s="1">
        <v>2.4820000000000002</v>
      </c>
      <c r="P58">
        <f t="shared" si="1"/>
        <v>2.0165657363524661</v>
      </c>
    </row>
    <row r="59" spans="1:16" x14ac:dyDescent="0.2">
      <c r="A59" t="s">
        <v>21</v>
      </c>
      <c r="B59" t="s">
        <v>4</v>
      </c>
      <c r="C59" s="1">
        <v>79.319999999999993</v>
      </c>
      <c r="D59" s="1">
        <v>15.89</v>
      </c>
      <c r="E59">
        <f t="shared" si="2"/>
        <v>15.892639542015946</v>
      </c>
      <c r="L59" t="s">
        <v>21</v>
      </c>
      <c r="M59" t="s">
        <v>6</v>
      </c>
      <c r="N59" s="1">
        <v>8.7799999999999994</v>
      </c>
      <c r="O59" s="1">
        <v>2.5619999999999998</v>
      </c>
      <c r="P59">
        <f t="shared" si="1"/>
        <v>2.0808539582236265</v>
      </c>
    </row>
    <row r="60" spans="1:16" x14ac:dyDescent="0.2">
      <c r="A60" t="s">
        <v>21</v>
      </c>
      <c r="B60" t="s">
        <v>4</v>
      </c>
      <c r="C60" s="1">
        <v>79.14</v>
      </c>
      <c r="D60" s="1">
        <v>15.86</v>
      </c>
      <c r="E60">
        <f t="shared" si="2"/>
        <v>15.855837252095686</v>
      </c>
      <c r="L60" t="s">
        <v>21</v>
      </c>
      <c r="M60" t="s">
        <v>6</v>
      </c>
      <c r="N60" s="1">
        <v>8.8889999999999993</v>
      </c>
      <c r="O60" s="1">
        <v>2.5920000000000001</v>
      </c>
      <c r="P60">
        <f t="shared" si="1"/>
        <v>2.1047700544146042</v>
      </c>
    </row>
    <row r="61" spans="1:16" x14ac:dyDescent="0.2">
      <c r="A61" t="s">
        <v>21</v>
      </c>
      <c r="B61" t="s">
        <v>4</v>
      </c>
      <c r="C61" s="1">
        <v>78.19</v>
      </c>
      <c r="D61" s="1">
        <v>15.66</v>
      </c>
      <c r="E61">
        <f t="shared" si="2"/>
        <v>15.661602944183192</v>
      </c>
      <c r="L61" t="s">
        <v>21</v>
      </c>
      <c r="M61" t="s">
        <v>6</v>
      </c>
      <c r="N61" s="1">
        <v>8.8520000000000003</v>
      </c>
      <c r="O61" s="1">
        <v>2.5819999999999999</v>
      </c>
      <c r="P61">
        <f t="shared" si="1"/>
        <v>2.0966517465332632</v>
      </c>
    </row>
    <row r="62" spans="1:16" x14ac:dyDescent="0.2">
      <c r="A62" t="s">
        <v>22</v>
      </c>
      <c r="B62" t="s">
        <v>4</v>
      </c>
      <c r="C62" s="1">
        <v>81.69</v>
      </c>
      <c r="D62" s="1">
        <v>16.38</v>
      </c>
      <c r="E62">
        <f t="shared" si="2"/>
        <v>16.377203025966057</v>
      </c>
      <c r="L62" t="s">
        <v>22</v>
      </c>
      <c r="M62" t="s">
        <v>6</v>
      </c>
      <c r="N62" s="1">
        <v>8.6630000000000003</v>
      </c>
      <c r="O62" s="1">
        <v>2.5299999999999998</v>
      </c>
      <c r="P62">
        <f t="shared" si="1"/>
        <v>2.055182552220467</v>
      </c>
    </row>
    <row r="63" spans="1:16" x14ac:dyDescent="0.2">
      <c r="A63" t="s">
        <v>22</v>
      </c>
      <c r="B63" t="s">
        <v>4</v>
      </c>
      <c r="C63" s="1">
        <v>81.28</v>
      </c>
      <c r="D63" s="1">
        <v>16.29</v>
      </c>
      <c r="E63">
        <f t="shared" si="2"/>
        <v>16.293375587814353</v>
      </c>
      <c r="L63" t="s">
        <v>22</v>
      </c>
      <c r="M63" t="s">
        <v>6</v>
      </c>
      <c r="N63" s="1">
        <v>8.7759999999999998</v>
      </c>
      <c r="O63" s="1">
        <v>2.5609999999999999</v>
      </c>
      <c r="P63">
        <f t="shared" si="1"/>
        <v>2.0799763033175354</v>
      </c>
    </row>
    <row r="64" spans="1:16" x14ac:dyDescent="0.2">
      <c r="A64" t="s">
        <v>22</v>
      </c>
      <c r="B64" t="s">
        <v>4</v>
      </c>
      <c r="C64" s="1">
        <v>82.5</v>
      </c>
      <c r="D64" s="1">
        <v>16.54</v>
      </c>
      <c r="E64">
        <f t="shared" si="2"/>
        <v>16.542813330607238</v>
      </c>
      <c r="L64" t="s">
        <v>22</v>
      </c>
      <c r="M64" t="s">
        <v>6</v>
      </c>
      <c r="N64" s="1">
        <v>8.3729999999999993</v>
      </c>
      <c r="O64" s="1">
        <v>2.4510000000000001</v>
      </c>
      <c r="P64">
        <f t="shared" si="1"/>
        <v>1.9915525715288747</v>
      </c>
    </row>
    <row r="65" spans="1:16" x14ac:dyDescent="0.2">
      <c r="A65" t="s">
        <v>23</v>
      </c>
      <c r="B65" t="s">
        <v>4</v>
      </c>
      <c r="C65" s="1">
        <v>11.68</v>
      </c>
      <c r="D65" s="1">
        <v>2.0630000000000002</v>
      </c>
      <c r="E65">
        <f t="shared" si="2"/>
        <v>2.0631568186464935</v>
      </c>
      <c r="L65" t="s">
        <v>23</v>
      </c>
      <c r="M65" t="s">
        <v>6</v>
      </c>
      <c r="N65" s="1">
        <v>0</v>
      </c>
      <c r="O65" s="1">
        <v>0.15440000000000001</v>
      </c>
      <c r="P65">
        <f t="shared" si="1"/>
        <v>0.15440143935404599</v>
      </c>
    </row>
    <row r="66" spans="1:16" x14ac:dyDescent="0.2">
      <c r="A66" t="s">
        <v>23</v>
      </c>
      <c r="B66" t="s">
        <v>4</v>
      </c>
      <c r="C66" s="1">
        <v>12.01</v>
      </c>
      <c r="D66" s="1">
        <v>2.1309999999999998</v>
      </c>
      <c r="E66">
        <f t="shared" si="2"/>
        <v>2.1306276835003066</v>
      </c>
      <c r="L66" t="s">
        <v>23</v>
      </c>
      <c r="M66" t="s">
        <v>6</v>
      </c>
      <c r="N66" s="1">
        <v>0</v>
      </c>
      <c r="O66" s="1">
        <v>0.15440000000000001</v>
      </c>
      <c r="P66">
        <f t="shared" si="1"/>
        <v>0.15440143935404599</v>
      </c>
    </row>
    <row r="67" spans="1:16" x14ac:dyDescent="0.2">
      <c r="A67" t="s">
        <v>23</v>
      </c>
      <c r="B67" t="s">
        <v>4</v>
      </c>
      <c r="C67" s="1">
        <v>11.91</v>
      </c>
      <c r="D67" s="1">
        <v>2.11</v>
      </c>
      <c r="E67">
        <f t="shared" si="2"/>
        <v>2.1101819668779389</v>
      </c>
      <c r="L67" t="s">
        <v>23</v>
      </c>
      <c r="M67" t="s">
        <v>6</v>
      </c>
      <c r="N67" s="1">
        <v>0</v>
      </c>
      <c r="O67" s="1">
        <v>0.15440000000000001</v>
      </c>
      <c r="P67">
        <f t="shared" si="1"/>
        <v>0.15440143935404599</v>
      </c>
    </row>
    <row r="68" spans="1:16" x14ac:dyDescent="0.2">
      <c r="A68" t="s">
        <v>24</v>
      </c>
      <c r="B68" t="s">
        <v>4</v>
      </c>
      <c r="C68" s="1">
        <v>10.25</v>
      </c>
      <c r="D68" s="1">
        <v>1.7709999999999999</v>
      </c>
      <c r="E68">
        <f t="shared" si="2"/>
        <v>1.7707830709466366</v>
      </c>
      <c r="L68" t="s">
        <v>24</v>
      </c>
      <c r="M68" t="s">
        <v>6</v>
      </c>
      <c r="N68" s="1">
        <v>0</v>
      </c>
      <c r="O68" s="1">
        <v>0.15440000000000001</v>
      </c>
      <c r="P68">
        <f t="shared" si="1"/>
        <v>0.15440143935404599</v>
      </c>
    </row>
    <row r="69" spans="1:16" x14ac:dyDescent="0.2">
      <c r="A69" t="s">
        <v>24</v>
      </c>
      <c r="B69" t="s">
        <v>4</v>
      </c>
      <c r="C69" s="1">
        <v>10.4</v>
      </c>
      <c r="D69" s="1">
        <v>1.8009999999999999</v>
      </c>
      <c r="E69">
        <f t="shared" si="2"/>
        <v>1.8014516458801881</v>
      </c>
      <c r="L69" t="s">
        <v>24</v>
      </c>
      <c r="M69" t="s">
        <v>6</v>
      </c>
      <c r="N69" s="1">
        <v>0</v>
      </c>
      <c r="O69" s="1">
        <v>0.15440000000000001</v>
      </c>
      <c r="P69">
        <f t="shared" si="1"/>
        <v>0.15440143935404599</v>
      </c>
    </row>
    <row r="70" spans="1:16" x14ac:dyDescent="0.2">
      <c r="A70" t="s">
        <v>24</v>
      </c>
      <c r="B70" t="s">
        <v>4</v>
      </c>
      <c r="C70" s="1">
        <v>10.32</v>
      </c>
      <c r="D70" s="1">
        <v>1.7849999999999999</v>
      </c>
      <c r="E70">
        <f t="shared" si="2"/>
        <v>1.7850950725822941</v>
      </c>
      <c r="L70" t="s">
        <v>24</v>
      </c>
      <c r="M70" t="s">
        <v>6</v>
      </c>
      <c r="N70" s="1">
        <v>0</v>
      </c>
      <c r="O70" s="1">
        <v>0.15440000000000001</v>
      </c>
      <c r="P70">
        <f t="shared" si="1"/>
        <v>0.15440143935404599</v>
      </c>
    </row>
    <row r="71" spans="1:16" x14ac:dyDescent="0.2">
      <c r="A71" t="s">
        <v>8</v>
      </c>
      <c r="B71" t="s">
        <v>4</v>
      </c>
      <c r="C71" s="1">
        <v>0.22309999999999999</v>
      </c>
      <c r="D71" s="1">
        <v>-0.27929999999999999</v>
      </c>
      <c r="E71">
        <f t="shared" si="2"/>
        <v>-0.27928848906154158</v>
      </c>
      <c r="L71" t="s">
        <v>8</v>
      </c>
      <c r="M71" t="s">
        <v>6</v>
      </c>
      <c r="N71" s="1">
        <v>0</v>
      </c>
      <c r="O71" s="1">
        <v>0.15440000000000001</v>
      </c>
      <c r="P71">
        <f t="shared" si="1"/>
        <v>0.15440143935404599</v>
      </c>
    </row>
    <row r="72" spans="1:16" x14ac:dyDescent="0.2">
      <c r="A72" t="s">
        <v>8</v>
      </c>
      <c r="B72" t="s">
        <v>4</v>
      </c>
      <c r="C72" s="1">
        <v>0.30459999999999998</v>
      </c>
      <c r="D72" s="1">
        <v>-0.2626</v>
      </c>
      <c r="E72">
        <f t="shared" si="2"/>
        <v>-0.26262523001431198</v>
      </c>
      <c r="L72" t="s">
        <v>8</v>
      </c>
      <c r="M72" t="s">
        <v>6</v>
      </c>
      <c r="N72" s="1">
        <v>0</v>
      </c>
      <c r="O72" s="1">
        <v>0.15440000000000001</v>
      </c>
      <c r="P72">
        <f t="shared" si="1"/>
        <v>0.15440143935404599</v>
      </c>
    </row>
    <row r="73" spans="1:16" x14ac:dyDescent="0.2">
      <c r="A73" t="s">
        <v>8</v>
      </c>
      <c r="B73" t="s">
        <v>4</v>
      </c>
      <c r="C73" s="1">
        <v>0.3296</v>
      </c>
      <c r="D73" s="1">
        <v>-0.25750000000000001</v>
      </c>
      <c r="E73">
        <f t="shared" si="2"/>
        <v>-0.25751380085872011</v>
      </c>
      <c r="L73" t="s">
        <v>8</v>
      </c>
      <c r="M73" t="s">
        <v>6</v>
      </c>
      <c r="N73" s="1">
        <v>0</v>
      </c>
      <c r="O73" s="1">
        <v>0.15440000000000001</v>
      </c>
      <c r="P73">
        <f t="shared" si="1"/>
        <v>0.15440143935404599</v>
      </c>
    </row>
    <row r="74" spans="1:16" x14ac:dyDescent="0.2">
      <c r="A74" t="s">
        <v>9</v>
      </c>
      <c r="B74" t="s">
        <v>4</v>
      </c>
      <c r="C74" s="1">
        <v>28.52</v>
      </c>
      <c r="D74" s="1">
        <v>22.03</v>
      </c>
      <c r="E74">
        <f t="shared" si="2"/>
        <v>5.5062154978531996</v>
      </c>
      <c r="L74" t="s">
        <v>9</v>
      </c>
      <c r="M74" t="s">
        <v>6</v>
      </c>
      <c r="N74" s="1">
        <v>22.23</v>
      </c>
      <c r="O74" s="1">
        <v>25.01</v>
      </c>
      <c r="P74">
        <f t="shared" si="1"/>
        <v>5.0319685799543628</v>
      </c>
    </row>
    <row r="75" spans="1:16" x14ac:dyDescent="0.2">
      <c r="A75" t="s">
        <v>9</v>
      </c>
      <c r="B75" t="s">
        <v>4</v>
      </c>
      <c r="C75" s="1">
        <v>28.58</v>
      </c>
      <c r="D75" s="1">
        <v>22.07</v>
      </c>
      <c r="E75">
        <f t="shared" si="2"/>
        <v>5.5184829278266205</v>
      </c>
      <c r="L75" t="s">
        <v>9</v>
      </c>
      <c r="M75" t="s">
        <v>6</v>
      </c>
      <c r="N75" s="1">
        <v>21.99</v>
      </c>
      <c r="O75" s="1">
        <v>24.74</v>
      </c>
      <c r="P75">
        <f t="shared" si="1"/>
        <v>4.979309285588907</v>
      </c>
    </row>
    <row r="76" spans="1:16" x14ac:dyDescent="0.2">
      <c r="A76" t="s">
        <v>9</v>
      </c>
      <c r="B76" t="s">
        <v>4</v>
      </c>
      <c r="C76" s="1">
        <v>29.24</v>
      </c>
      <c r="D76" s="1">
        <v>22.61</v>
      </c>
      <c r="E76">
        <f t="shared" si="2"/>
        <v>5.6534246575342468</v>
      </c>
      <c r="L76" t="s">
        <v>9</v>
      </c>
      <c r="M76" t="s">
        <v>6</v>
      </c>
      <c r="N76" s="1">
        <v>22.64</v>
      </c>
      <c r="O76" s="1">
        <v>25.46</v>
      </c>
      <c r="P76">
        <f t="shared" si="1"/>
        <v>5.1219282078286827</v>
      </c>
    </row>
    <row r="77" spans="1:16" x14ac:dyDescent="0.2">
      <c r="A77" t="s">
        <v>25</v>
      </c>
      <c r="B77" t="s">
        <v>4</v>
      </c>
      <c r="C77" s="1">
        <v>9.1880000000000006</v>
      </c>
      <c r="D77" s="1">
        <v>1.554</v>
      </c>
      <c r="E77">
        <f t="shared" si="2"/>
        <v>1.5536495604170928</v>
      </c>
      <c r="L77" t="s">
        <v>25</v>
      </c>
      <c r="M77" t="s">
        <v>6</v>
      </c>
      <c r="N77" s="1">
        <v>0</v>
      </c>
      <c r="O77" s="1">
        <v>0.15440000000000001</v>
      </c>
      <c r="P77">
        <f t="shared" si="1"/>
        <v>0.15440143935404599</v>
      </c>
    </row>
    <row r="78" spans="1:16" x14ac:dyDescent="0.2">
      <c r="A78" t="s">
        <v>25</v>
      </c>
      <c r="B78" t="s">
        <v>4</v>
      </c>
      <c r="C78" s="1">
        <v>9.3290000000000006</v>
      </c>
      <c r="D78" s="1">
        <v>1.5820000000000001</v>
      </c>
      <c r="E78">
        <f t="shared" si="2"/>
        <v>1.582478020854631</v>
      </c>
      <c r="L78" t="s">
        <v>25</v>
      </c>
      <c r="M78" t="s">
        <v>6</v>
      </c>
      <c r="N78" s="1">
        <v>0</v>
      </c>
      <c r="O78" s="1">
        <v>0.15440000000000001</v>
      </c>
      <c r="P78">
        <f t="shared" si="1"/>
        <v>0.15440143935404599</v>
      </c>
    </row>
    <row r="79" spans="1:16" x14ac:dyDescent="0.2">
      <c r="A79" t="s">
        <v>25</v>
      </c>
      <c r="B79" t="s">
        <v>4</v>
      </c>
      <c r="C79" s="1">
        <v>9.3719999999999999</v>
      </c>
      <c r="D79" s="1">
        <v>1.591</v>
      </c>
      <c r="E79">
        <f t="shared" si="2"/>
        <v>1.5912696790022489</v>
      </c>
      <c r="L79" t="s">
        <v>25</v>
      </c>
      <c r="M79" t="s">
        <v>6</v>
      </c>
      <c r="N79" s="1">
        <v>0</v>
      </c>
      <c r="O79" s="1">
        <v>0.15440000000000001</v>
      </c>
      <c r="P79">
        <f t="shared" si="1"/>
        <v>0.15440143935404599</v>
      </c>
    </row>
    <row r="80" spans="1:16" x14ac:dyDescent="0.2">
      <c r="A80" t="s">
        <v>26</v>
      </c>
      <c r="B80" t="s">
        <v>4</v>
      </c>
      <c r="C80" s="1">
        <v>272.7</v>
      </c>
      <c r="D80" s="1">
        <v>55.43</v>
      </c>
      <c r="E80">
        <f t="shared" si="2"/>
        <v>55.430566346350446</v>
      </c>
      <c r="L80" t="s">
        <v>26</v>
      </c>
      <c r="M80" t="s">
        <v>6</v>
      </c>
      <c r="N80" s="1">
        <v>24.78</v>
      </c>
      <c r="O80" s="1">
        <v>6.9509999999999996</v>
      </c>
      <c r="P80">
        <f t="shared" si="1"/>
        <v>5.5914735825873274</v>
      </c>
    </row>
    <row r="81" spans="1:16" x14ac:dyDescent="0.2">
      <c r="A81" t="s">
        <v>26</v>
      </c>
      <c r="B81" t="s">
        <v>4</v>
      </c>
      <c r="C81" s="1">
        <v>274</v>
      </c>
      <c r="D81" s="1">
        <v>55.7</v>
      </c>
      <c r="E81">
        <f t="shared" si="2"/>
        <v>55.696360662441222</v>
      </c>
      <c r="L81" t="s">
        <v>26</v>
      </c>
      <c r="M81" t="s">
        <v>6</v>
      </c>
      <c r="N81" s="1">
        <v>24.31</v>
      </c>
      <c r="O81" s="1">
        <v>6.8220000000000001</v>
      </c>
      <c r="P81">
        <f t="shared" si="1"/>
        <v>5.4883491311216428</v>
      </c>
    </row>
    <row r="82" spans="1:16" x14ac:dyDescent="0.2">
      <c r="A82" t="s">
        <v>26</v>
      </c>
      <c r="B82" t="s">
        <v>4</v>
      </c>
      <c r="C82" s="1">
        <v>281.3</v>
      </c>
      <c r="D82" s="1">
        <v>57.19</v>
      </c>
      <c r="E82">
        <f t="shared" si="2"/>
        <v>57.188897975874063</v>
      </c>
      <c r="L82" t="s">
        <v>26</v>
      </c>
      <c r="M82" t="s">
        <v>6</v>
      </c>
      <c r="N82" s="1">
        <v>25.07</v>
      </c>
      <c r="O82" s="1">
        <v>7.03</v>
      </c>
      <c r="P82">
        <f t="shared" si="1"/>
        <v>5.6551035632789191</v>
      </c>
    </row>
    <row r="83" spans="1:16" x14ac:dyDescent="0.2">
      <c r="A83" t="s">
        <v>27</v>
      </c>
      <c r="B83" t="s">
        <v>4</v>
      </c>
      <c r="C83" s="1">
        <v>278.7</v>
      </c>
      <c r="D83" s="1">
        <v>56.66</v>
      </c>
      <c r="E83">
        <f t="shared" si="2"/>
        <v>56.657309343692496</v>
      </c>
      <c r="L83" t="s">
        <v>27</v>
      </c>
      <c r="M83" t="s">
        <v>6</v>
      </c>
      <c r="N83" s="1">
        <v>24.63</v>
      </c>
      <c r="O83" s="1">
        <v>6.91</v>
      </c>
      <c r="P83">
        <f t="shared" si="1"/>
        <v>5.5585615236089172</v>
      </c>
    </row>
    <row r="84" spans="1:16" x14ac:dyDescent="0.2">
      <c r="A84" t="s">
        <v>27</v>
      </c>
      <c r="B84" t="s">
        <v>4</v>
      </c>
      <c r="C84" s="1">
        <v>282.5</v>
      </c>
      <c r="D84" s="1">
        <v>57.43</v>
      </c>
      <c r="E84">
        <f t="shared" si="2"/>
        <v>57.43424657534247</v>
      </c>
      <c r="L84" t="s">
        <v>27</v>
      </c>
      <c r="M84" t="s">
        <v>6</v>
      </c>
      <c r="N84" s="1">
        <v>24.58</v>
      </c>
      <c r="O84" s="1">
        <v>6.8959999999999999</v>
      </c>
      <c r="P84">
        <f t="shared" si="1"/>
        <v>5.5475908372827805</v>
      </c>
    </row>
    <row r="85" spans="1:16" x14ac:dyDescent="0.2">
      <c r="A85" t="s">
        <v>27</v>
      </c>
      <c r="B85" t="s">
        <v>4</v>
      </c>
      <c r="C85" s="1">
        <v>286</v>
      </c>
      <c r="D85" s="1">
        <v>58.15</v>
      </c>
      <c r="E85">
        <f t="shared" si="2"/>
        <v>58.149846657125337</v>
      </c>
      <c r="L85" t="s">
        <v>27</v>
      </c>
      <c r="M85" t="s">
        <v>6</v>
      </c>
      <c r="N85" s="1">
        <v>25.01</v>
      </c>
      <c r="O85" s="1">
        <v>7.0140000000000002</v>
      </c>
      <c r="P85">
        <f t="shared" ref="P85:P148" si="5">(N85+0.7037)/4.5576</f>
        <v>5.6419387396875553</v>
      </c>
    </row>
    <row r="86" spans="1:16" x14ac:dyDescent="0.2">
      <c r="A86" t="s">
        <v>28</v>
      </c>
      <c r="B86" t="s">
        <v>4</v>
      </c>
      <c r="C86" s="1">
        <v>275.7</v>
      </c>
      <c r="D86" s="1">
        <v>56.04</v>
      </c>
      <c r="E86">
        <f t="shared" si="2"/>
        <v>56.043937845021468</v>
      </c>
      <c r="L86" t="s">
        <v>28</v>
      </c>
      <c r="M86" t="s">
        <v>6</v>
      </c>
      <c r="N86" s="1">
        <v>25.75</v>
      </c>
      <c r="O86" s="1">
        <v>7.2169999999999996</v>
      </c>
      <c r="P86">
        <f t="shared" si="5"/>
        <v>5.8043048973143767</v>
      </c>
    </row>
    <row r="87" spans="1:16" x14ac:dyDescent="0.2">
      <c r="A87" t="s">
        <v>28</v>
      </c>
      <c r="B87" t="s">
        <v>4</v>
      </c>
      <c r="C87" s="1">
        <v>277</v>
      </c>
      <c r="D87" s="1">
        <v>56.31</v>
      </c>
      <c r="E87">
        <f t="shared" si="2"/>
        <v>56.309732161112251</v>
      </c>
      <c r="L87" t="s">
        <v>28</v>
      </c>
      <c r="M87" t="s">
        <v>6</v>
      </c>
      <c r="N87" s="1">
        <v>25.66</v>
      </c>
      <c r="O87" s="1">
        <v>7.1920000000000002</v>
      </c>
      <c r="P87">
        <f t="shared" si="5"/>
        <v>5.7845576619273302</v>
      </c>
    </row>
    <row r="88" spans="1:16" x14ac:dyDescent="0.2">
      <c r="A88" t="s">
        <v>28</v>
      </c>
      <c r="B88" t="s">
        <v>4</v>
      </c>
      <c r="C88" s="1">
        <v>277.7</v>
      </c>
      <c r="D88" s="1">
        <v>56.45</v>
      </c>
      <c r="E88">
        <f t="shared" ref="E88:E151" si="6">(C88-1.5891)/4.891</f>
        <v>56.45285217746882</v>
      </c>
      <c r="L88" t="s">
        <v>28</v>
      </c>
      <c r="M88" t="s">
        <v>6</v>
      </c>
      <c r="N88" s="1">
        <v>24.7</v>
      </c>
      <c r="O88" s="1">
        <v>6.9290000000000003</v>
      </c>
      <c r="P88">
        <f t="shared" si="5"/>
        <v>5.5739204844655088</v>
      </c>
    </row>
    <row r="89" spans="1:16" x14ac:dyDescent="0.2">
      <c r="A89" t="s">
        <v>29</v>
      </c>
      <c r="B89" t="s">
        <v>4</v>
      </c>
      <c r="C89" s="1">
        <v>57.25</v>
      </c>
      <c r="D89" s="1">
        <v>11.38</v>
      </c>
      <c r="E89">
        <f t="shared" si="6"/>
        <v>11.380269883459414</v>
      </c>
      <c r="L89" t="s">
        <v>29</v>
      </c>
      <c r="M89" t="s">
        <v>6</v>
      </c>
      <c r="N89" s="1">
        <v>3.375</v>
      </c>
      <c r="O89" s="1">
        <v>1.08</v>
      </c>
      <c r="P89">
        <f t="shared" si="5"/>
        <v>0.89492276636826396</v>
      </c>
    </row>
    <row r="90" spans="1:16" x14ac:dyDescent="0.2">
      <c r="A90" t="s">
        <v>29</v>
      </c>
      <c r="B90" t="s">
        <v>4</v>
      </c>
      <c r="C90" s="1">
        <v>56.65</v>
      </c>
      <c r="D90" s="1">
        <v>11.26</v>
      </c>
      <c r="E90">
        <f t="shared" si="6"/>
        <v>11.257595583725209</v>
      </c>
      <c r="L90" t="s">
        <v>29</v>
      </c>
      <c r="M90" t="s">
        <v>6</v>
      </c>
      <c r="N90" s="1">
        <v>3.4950000000000001</v>
      </c>
      <c r="O90" s="1">
        <v>1.113</v>
      </c>
      <c r="P90">
        <f t="shared" si="5"/>
        <v>0.92125241355099186</v>
      </c>
    </row>
    <row r="91" spans="1:16" x14ac:dyDescent="0.2">
      <c r="A91" t="s">
        <v>29</v>
      </c>
      <c r="B91" t="s">
        <v>4</v>
      </c>
      <c r="C91" s="1">
        <v>57.2</v>
      </c>
      <c r="D91" s="1">
        <v>11.37</v>
      </c>
      <c r="E91">
        <f t="shared" si="6"/>
        <v>11.370047025148232</v>
      </c>
      <c r="L91" t="s">
        <v>29</v>
      </c>
      <c r="M91" t="s">
        <v>6</v>
      </c>
      <c r="N91" s="1">
        <v>3.4510000000000001</v>
      </c>
      <c r="O91" s="1">
        <v>1.101</v>
      </c>
      <c r="P91">
        <f t="shared" si="5"/>
        <v>0.91159820958399163</v>
      </c>
    </row>
    <row r="92" spans="1:16" x14ac:dyDescent="0.2">
      <c r="A92" t="s">
        <v>30</v>
      </c>
      <c r="B92" t="s">
        <v>4</v>
      </c>
      <c r="C92" s="1">
        <v>55.29</v>
      </c>
      <c r="D92" s="1">
        <v>10.98</v>
      </c>
      <c r="E92">
        <f t="shared" si="6"/>
        <v>10.979533837661009</v>
      </c>
      <c r="L92" t="s">
        <v>30</v>
      </c>
      <c r="M92" t="s">
        <v>6</v>
      </c>
      <c r="N92" s="1">
        <v>3.2839999999999998</v>
      </c>
      <c r="O92" s="1">
        <v>1.0549999999999999</v>
      </c>
      <c r="P92">
        <f t="shared" si="5"/>
        <v>0.87495611725469546</v>
      </c>
    </row>
    <row r="93" spans="1:16" x14ac:dyDescent="0.2">
      <c r="A93" t="s">
        <v>30</v>
      </c>
      <c r="B93" t="s">
        <v>4</v>
      </c>
      <c r="C93" s="1">
        <v>54.78</v>
      </c>
      <c r="D93" s="1">
        <v>10.88</v>
      </c>
      <c r="E93">
        <f t="shared" si="6"/>
        <v>10.875260682886935</v>
      </c>
      <c r="L93" t="s">
        <v>30</v>
      </c>
      <c r="M93" t="s">
        <v>6</v>
      </c>
      <c r="N93" s="1">
        <v>3.0569999999999999</v>
      </c>
      <c r="O93" s="1">
        <v>0.99280000000000002</v>
      </c>
      <c r="P93">
        <f t="shared" si="5"/>
        <v>0.82514920133403546</v>
      </c>
    </row>
    <row r="94" spans="1:16" x14ac:dyDescent="0.2">
      <c r="A94" t="s">
        <v>30</v>
      </c>
      <c r="B94" t="s">
        <v>4</v>
      </c>
      <c r="C94" s="1">
        <v>55.41</v>
      </c>
      <c r="D94" s="1">
        <v>11</v>
      </c>
      <c r="E94">
        <f t="shared" si="6"/>
        <v>11.004068697607851</v>
      </c>
      <c r="L94" t="s">
        <v>30</v>
      </c>
      <c r="M94" t="s">
        <v>6</v>
      </c>
      <c r="N94" s="1">
        <v>3.1890000000000001</v>
      </c>
      <c r="O94" s="1">
        <v>1.0289999999999999</v>
      </c>
      <c r="P94">
        <f t="shared" si="5"/>
        <v>0.85411181323503604</v>
      </c>
    </row>
    <row r="95" spans="1:16" x14ac:dyDescent="0.2">
      <c r="A95" t="s">
        <v>31</v>
      </c>
      <c r="B95" t="s">
        <v>4</v>
      </c>
      <c r="C95" s="1">
        <v>54.33</v>
      </c>
      <c r="D95" s="1">
        <v>10.78</v>
      </c>
      <c r="E95">
        <f t="shared" si="6"/>
        <v>10.78325495808628</v>
      </c>
      <c r="L95" t="s">
        <v>31</v>
      </c>
      <c r="M95" t="s">
        <v>6</v>
      </c>
      <c r="N95" s="1">
        <v>3.7440000000000002</v>
      </c>
      <c r="O95" s="1">
        <v>1.181</v>
      </c>
      <c r="P95">
        <f t="shared" si="5"/>
        <v>0.97588643145515186</v>
      </c>
    </row>
    <row r="96" spans="1:16" x14ac:dyDescent="0.2">
      <c r="A96" t="s">
        <v>31</v>
      </c>
      <c r="B96" t="s">
        <v>4</v>
      </c>
      <c r="C96" s="1">
        <v>56.35</v>
      </c>
      <c r="D96" s="1">
        <v>11.2</v>
      </c>
      <c r="E96">
        <f t="shared" si="6"/>
        <v>11.196258433858107</v>
      </c>
      <c r="L96" t="s">
        <v>31</v>
      </c>
      <c r="M96" t="s">
        <v>6</v>
      </c>
      <c r="N96" s="1">
        <v>3.6869999999999998</v>
      </c>
      <c r="O96" s="1">
        <v>1.1659999999999999</v>
      </c>
      <c r="P96">
        <f t="shared" si="5"/>
        <v>0.96337984904335616</v>
      </c>
    </row>
    <row r="97" spans="1:16" x14ac:dyDescent="0.2">
      <c r="A97" t="s">
        <v>31</v>
      </c>
      <c r="B97" t="s">
        <v>4</v>
      </c>
      <c r="C97" s="1">
        <v>55.66</v>
      </c>
      <c r="D97" s="1">
        <v>11.06</v>
      </c>
      <c r="E97">
        <f t="shared" si="6"/>
        <v>11.05518298916377</v>
      </c>
      <c r="L97" t="s">
        <v>31</v>
      </c>
      <c r="M97" t="s">
        <v>6</v>
      </c>
      <c r="N97" s="1">
        <v>3.8410000000000002</v>
      </c>
      <c r="O97" s="1">
        <v>1.208</v>
      </c>
      <c r="P97">
        <f t="shared" si="5"/>
        <v>0.99716956292785697</v>
      </c>
    </row>
    <row r="98" spans="1:16" x14ac:dyDescent="0.2">
      <c r="A98" t="s">
        <v>32</v>
      </c>
      <c r="B98" t="s">
        <v>4</v>
      </c>
      <c r="C98" s="1">
        <v>41.63</v>
      </c>
      <c r="D98" s="1">
        <v>8.1869999999999994</v>
      </c>
      <c r="E98">
        <f t="shared" si="6"/>
        <v>8.1866489470455939</v>
      </c>
      <c r="L98" t="s">
        <v>32</v>
      </c>
      <c r="M98" t="s">
        <v>6</v>
      </c>
      <c r="N98" s="1">
        <v>1.8029999999999999</v>
      </c>
      <c r="O98" s="1">
        <v>0.64890000000000003</v>
      </c>
      <c r="P98">
        <f t="shared" si="5"/>
        <v>0.55000438827453046</v>
      </c>
    </row>
    <row r="99" spans="1:16" x14ac:dyDescent="0.2">
      <c r="A99" t="s">
        <v>32</v>
      </c>
      <c r="B99" t="s">
        <v>4</v>
      </c>
      <c r="C99" s="1">
        <v>42.5</v>
      </c>
      <c r="D99" s="1">
        <v>8.3650000000000002</v>
      </c>
      <c r="E99">
        <f t="shared" si="6"/>
        <v>8.3645266816601911</v>
      </c>
      <c r="L99" t="s">
        <v>32</v>
      </c>
      <c r="M99" t="s">
        <v>6</v>
      </c>
      <c r="N99" s="1">
        <v>1.7929999999999999</v>
      </c>
      <c r="O99" s="1">
        <v>0.6462</v>
      </c>
      <c r="P99">
        <f t="shared" si="5"/>
        <v>0.54781025100930314</v>
      </c>
    </row>
    <row r="100" spans="1:16" x14ac:dyDescent="0.2">
      <c r="A100" t="s">
        <v>32</v>
      </c>
      <c r="B100" t="s">
        <v>4</v>
      </c>
      <c r="C100" s="1">
        <v>43.11</v>
      </c>
      <c r="D100" s="1">
        <v>8.4890000000000008</v>
      </c>
      <c r="E100">
        <f t="shared" si="6"/>
        <v>8.4892455530566338</v>
      </c>
      <c r="L100" t="s">
        <v>32</v>
      </c>
      <c r="M100" t="s">
        <v>6</v>
      </c>
      <c r="N100" s="1">
        <v>1.665</v>
      </c>
      <c r="O100" s="1">
        <v>0.61099999999999999</v>
      </c>
      <c r="P100">
        <f t="shared" si="5"/>
        <v>0.5197252940143936</v>
      </c>
    </row>
    <row r="101" spans="1:16" x14ac:dyDescent="0.2">
      <c r="A101" t="s">
        <v>33</v>
      </c>
      <c r="B101" t="s">
        <v>4</v>
      </c>
      <c r="C101" s="1">
        <v>45.2</v>
      </c>
      <c r="D101" s="1">
        <v>8.9169999999999998</v>
      </c>
      <c r="E101">
        <f t="shared" si="6"/>
        <v>8.9165610304641181</v>
      </c>
      <c r="L101" t="s">
        <v>33</v>
      </c>
      <c r="M101" t="s">
        <v>6</v>
      </c>
      <c r="N101" s="1">
        <v>2.2759999999999998</v>
      </c>
      <c r="O101" s="1">
        <v>0.77859999999999996</v>
      </c>
      <c r="P101">
        <f t="shared" si="5"/>
        <v>0.65378708091978233</v>
      </c>
    </row>
    <row r="102" spans="1:16" x14ac:dyDescent="0.2">
      <c r="A102" t="s">
        <v>33</v>
      </c>
      <c r="B102" t="s">
        <v>4</v>
      </c>
      <c r="C102" s="1">
        <v>46.31</v>
      </c>
      <c r="D102" s="1">
        <v>9.1440000000000001</v>
      </c>
      <c r="E102">
        <f t="shared" si="6"/>
        <v>9.1435084849723989</v>
      </c>
      <c r="L102" t="s">
        <v>33</v>
      </c>
      <c r="M102" t="s">
        <v>6</v>
      </c>
      <c r="N102" s="1">
        <v>2.2690000000000001</v>
      </c>
      <c r="O102" s="1">
        <v>0.77669999999999995</v>
      </c>
      <c r="P102">
        <f t="shared" si="5"/>
        <v>0.65225118483412325</v>
      </c>
    </row>
    <row r="103" spans="1:16" x14ac:dyDescent="0.2">
      <c r="A103" t="s">
        <v>33</v>
      </c>
      <c r="B103" t="s">
        <v>4</v>
      </c>
      <c r="C103" s="1">
        <v>46.29</v>
      </c>
      <c r="D103" s="1">
        <v>9.14</v>
      </c>
      <c r="E103">
        <f t="shared" si="6"/>
        <v>9.1394193416479244</v>
      </c>
      <c r="L103" t="s">
        <v>33</v>
      </c>
      <c r="M103" t="s">
        <v>6</v>
      </c>
      <c r="N103" s="1">
        <v>2.3929999999999998</v>
      </c>
      <c r="O103" s="1">
        <v>0.81069999999999998</v>
      </c>
      <c r="P103">
        <f t="shared" si="5"/>
        <v>0.67945848692294186</v>
      </c>
    </row>
    <row r="104" spans="1:16" x14ac:dyDescent="0.2">
      <c r="A104" t="s">
        <v>34</v>
      </c>
      <c r="B104" t="s">
        <v>4</v>
      </c>
      <c r="C104" s="1">
        <v>41.99</v>
      </c>
      <c r="D104" s="1">
        <v>8.26</v>
      </c>
      <c r="E104">
        <f t="shared" si="6"/>
        <v>8.2602535268861175</v>
      </c>
      <c r="L104" t="s">
        <v>34</v>
      </c>
      <c r="M104" t="s">
        <v>6</v>
      </c>
      <c r="N104" s="1">
        <v>1.78</v>
      </c>
      <c r="O104" s="1">
        <v>0.64259999999999995</v>
      </c>
      <c r="P104">
        <f t="shared" si="5"/>
        <v>0.54495787256450756</v>
      </c>
    </row>
    <row r="105" spans="1:16" x14ac:dyDescent="0.2">
      <c r="A105" t="s">
        <v>34</v>
      </c>
      <c r="B105" t="s">
        <v>4</v>
      </c>
      <c r="C105" s="1">
        <v>42.1</v>
      </c>
      <c r="D105" s="1">
        <v>8.2829999999999995</v>
      </c>
      <c r="E105">
        <f t="shared" si="6"/>
        <v>8.282743815170722</v>
      </c>
      <c r="L105" t="s">
        <v>34</v>
      </c>
      <c r="M105" t="s">
        <v>6</v>
      </c>
      <c r="N105" s="1">
        <v>1.982</v>
      </c>
      <c r="O105" s="1">
        <v>0.69799999999999995</v>
      </c>
      <c r="P105">
        <f t="shared" si="5"/>
        <v>0.5892794453220993</v>
      </c>
    </row>
    <row r="106" spans="1:16" x14ac:dyDescent="0.2">
      <c r="A106" t="s">
        <v>34</v>
      </c>
      <c r="B106" t="s">
        <v>4</v>
      </c>
      <c r="C106" s="1">
        <v>43.26</v>
      </c>
      <c r="D106" s="1">
        <v>8.52</v>
      </c>
      <c r="E106">
        <f t="shared" si="6"/>
        <v>8.5199141279901855</v>
      </c>
      <c r="L106" t="s">
        <v>34</v>
      </c>
      <c r="M106" t="s">
        <v>6</v>
      </c>
      <c r="N106" s="1">
        <v>1.9770000000000001</v>
      </c>
      <c r="O106" s="1">
        <v>0.6966</v>
      </c>
      <c r="P106">
        <f t="shared" si="5"/>
        <v>0.5881823766894857</v>
      </c>
    </row>
    <row r="107" spans="1:16" x14ac:dyDescent="0.2">
      <c r="A107" t="s">
        <v>35</v>
      </c>
      <c r="B107" t="s">
        <v>4</v>
      </c>
      <c r="C107" s="1">
        <v>186.9</v>
      </c>
      <c r="D107" s="1">
        <v>37.89</v>
      </c>
      <c r="E107">
        <f t="shared" si="6"/>
        <v>37.888141484359025</v>
      </c>
      <c r="L107" t="s">
        <v>35</v>
      </c>
      <c r="M107" t="s">
        <v>6</v>
      </c>
      <c r="N107" s="1">
        <v>22.13</v>
      </c>
      <c r="O107" s="1">
        <v>6.2240000000000002</v>
      </c>
      <c r="P107">
        <f t="shared" si="5"/>
        <v>5.0100272073020893</v>
      </c>
    </row>
    <row r="108" spans="1:16" x14ac:dyDescent="0.2">
      <c r="A108" t="s">
        <v>35</v>
      </c>
      <c r="B108" t="s">
        <v>4</v>
      </c>
      <c r="C108" s="1">
        <v>185</v>
      </c>
      <c r="D108" s="1">
        <v>37.5</v>
      </c>
      <c r="E108">
        <f t="shared" si="6"/>
        <v>37.499672868534041</v>
      </c>
      <c r="L108" t="s">
        <v>35</v>
      </c>
      <c r="M108" t="s">
        <v>6</v>
      </c>
      <c r="N108" s="1">
        <v>23.12</v>
      </c>
      <c r="O108" s="1">
        <v>6.4950000000000001</v>
      </c>
      <c r="P108">
        <f t="shared" si="5"/>
        <v>5.2272467965595935</v>
      </c>
    </row>
    <row r="109" spans="1:16" x14ac:dyDescent="0.2">
      <c r="A109" t="s">
        <v>35</v>
      </c>
      <c r="B109" t="s">
        <v>4</v>
      </c>
      <c r="C109" s="1">
        <v>184.5</v>
      </c>
      <c r="D109" s="1">
        <v>37.4</v>
      </c>
      <c r="E109">
        <f t="shared" si="6"/>
        <v>37.397444285422203</v>
      </c>
      <c r="L109" t="s">
        <v>35</v>
      </c>
      <c r="M109" t="s">
        <v>6</v>
      </c>
      <c r="N109" s="1">
        <v>22.77</v>
      </c>
      <c r="O109" s="1">
        <v>6.399</v>
      </c>
      <c r="P109">
        <f t="shared" si="5"/>
        <v>5.1504519922766372</v>
      </c>
    </row>
    <row r="110" spans="1:16" x14ac:dyDescent="0.2">
      <c r="A110" t="s">
        <v>36</v>
      </c>
      <c r="B110" t="s">
        <v>4</v>
      </c>
      <c r="C110" s="1">
        <v>200.6</v>
      </c>
      <c r="D110" s="1">
        <v>40.69</v>
      </c>
      <c r="E110">
        <f t="shared" si="6"/>
        <v>40.689204661623386</v>
      </c>
      <c r="L110" t="s">
        <v>36</v>
      </c>
      <c r="M110" t="s">
        <v>6</v>
      </c>
      <c r="N110" s="1">
        <v>24.06</v>
      </c>
      <c r="O110" s="1">
        <v>6.7530000000000001</v>
      </c>
      <c r="P110">
        <f t="shared" si="5"/>
        <v>5.43349569949096</v>
      </c>
    </row>
    <row r="111" spans="1:16" x14ac:dyDescent="0.2">
      <c r="A111" t="s">
        <v>36</v>
      </c>
      <c r="B111" t="s">
        <v>4</v>
      </c>
      <c r="C111" s="1">
        <v>204.6</v>
      </c>
      <c r="D111" s="1">
        <v>41.51</v>
      </c>
      <c r="E111">
        <f t="shared" si="6"/>
        <v>41.507033326518091</v>
      </c>
      <c r="L111" t="s">
        <v>36</v>
      </c>
      <c r="M111" t="s">
        <v>6</v>
      </c>
      <c r="N111" s="1">
        <v>24.25</v>
      </c>
      <c r="O111" s="1">
        <v>6.8049999999999997</v>
      </c>
      <c r="P111">
        <f t="shared" si="5"/>
        <v>5.47518430753028</v>
      </c>
    </row>
    <row r="112" spans="1:16" x14ac:dyDescent="0.2">
      <c r="A112" t="s">
        <v>36</v>
      </c>
      <c r="B112" t="s">
        <v>4</v>
      </c>
      <c r="C112" s="1">
        <v>203.8</v>
      </c>
      <c r="D112" s="1">
        <v>41.34</v>
      </c>
      <c r="E112">
        <f t="shared" si="6"/>
        <v>41.343467593539152</v>
      </c>
      <c r="L112" t="s">
        <v>36</v>
      </c>
      <c r="M112" t="s">
        <v>6</v>
      </c>
      <c r="N112" s="1">
        <v>23.64</v>
      </c>
      <c r="O112" s="1">
        <v>6.6379999999999999</v>
      </c>
      <c r="P112">
        <f t="shared" si="5"/>
        <v>5.3413419343514139</v>
      </c>
    </row>
    <row r="113" spans="1:16" x14ac:dyDescent="0.2">
      <c r="A113" t="s">
        <v>37</v>
      </c>
      <c r="B113" t="s">
        <v>4</v>
      </c>
      <c r="C113" s="1">
        <v>199.4</v>
      </c>
      <c r="D113" s="1">
        <v>40.44</v>
      </c>
      <c r="E113">
        <f t="shared" si="6"/>
        <v>40.443856062154978</v>
      </c>
      <c r="L113" t="s">
        <v>37</v>
      </c>
      <c r="M113" t="s">
        <v>6</v>
      </c>
      <c r="N113" s="1">
        <v>23.06</v>
      </c>
      <c r="O113" s="1">
        <v>6.4790000000000001</v>
      </c>
      <c r="P113">
        <f t="shared" si="5"/>
        <v>5.2140819729682288</v>
      </c>
    </row>
    <row r="114" spans="1:16" x14ac:dyDescent="0.2">
      <c r="A114" t="s">
        <v>37</v>
      </c>
      <c r="B114" t="s">
        <v>4</v>
      </c>
      <c r="C114" s="1">
        <v>201.4</v>
      </c>
      <c r="D114" s="1">
        <v>40.85</v>
      </c>
      <c r="E114">
        <f t="shared" si="6"/>
        <v>40.852770394602331</v>
      </c>
      <c r="L114" t="s">
        <v>37</v>
      </c>
      <c r="M114" t="s">
        <v>6</v>
      </c>
      <c r="N114" s="1">
        <v>23.11</v>
      </c>
      <c r="O114" s="1">
        <v>6.4930000000000003</v>
      </c>
      <c r="P114">
        <f t="shared" si="5"/>
        <v>5.2250526592943656</v>
      </c>
    </row>
    <row r="115" spans="1:16" x14ac:dyDescent="0.2">
      <c r="A115" t="s">
        <v>37</v>
      </c>
      <c r="B115" t="s">
        <v>4</v>
      </c>
      <c r="C115" s="1">
        <v>202.3</v>
      </c>
      <c r="D115" s="1">
        <v>41.04</v>
      </c>
      <c r="E115">
        <f t="shared" si="6"/>
        <v>41.036781844203638</v>
      </c>
      <c r="L115" t="s">
        <v>37</v>
      </c>
      <c r="M115" t="s">
        <v>6</v>
      </c>
      <c r="N115" s="1">
        <v>23.16</v>
      </c>
      <c r="O115" s="1">
        <v>6.5060000000000002</v>
      </c>
      <c r="P115">
        <f t="shared" si="5"/>
        <v>5.2360233456205023</v>
      </c>
    </row>
    <row r="116" spans="1:16" x14ac:dyDescent="0.2">
      <c r="A116" t="s">
        <v>38</v>
      </c>
      <c r="B116" t="s">
        <v>4</v>
      </c>
      <c r="C116" s="1">
        <v>113.9</v>
      </c>
      <c r="D116" s="1">
        <v>22.96</v>
      </c>
      <c r="E116">
        <f t="shared" si="6"/>
        <v>22.962768350030668</v>
      </c>
      <c r="L116" t="s">
        <v>38</v>
      </c>
      <c r="M116" t="s">
        <v>6</v>
      </c>
      <c r="N116" s="1">
        <v>10.34</v>
      </c>
      <c r="O116" s="1">
        <v>2.99</v>
      </c>
      <c r="P116">
        <f t="shared" si="5"/>
        <v>2.423139371599087</v>
      </c>
    </row>
    <row r="117" spans="1:16" x14ac:dyDescent="0.2">
      <c r="A117" t="s">
        <v>38</v>
      </c>
      <c r="B117" t="s">
        <v>4</v>
      </c>
      <c r="C117" s="1">
        <v>111.9</v>
      </c>
      <c r="D117" s="1">
        <v>22.55</v>
      </c>
      <c r="E117">
        <f t="shared" si="6"/>
        <v>22.553854017583316</v>
      </c>
      <c r="L117" t="s">
        <v>38</v>
      </c>
      <c r="M117" t="s">
        <v>6</v>
      </c>
      <c r="N117" s="1">
        <v>10.69</v>
      </c>
      <c r="O117" s="1">
        <v>3.0859999999999999</v>
      </c>
      <c r="P117">
        <f t="shared" si="5"/>
        <v>2.4999341758820433</v>
      </c>
    </row>
    <row r="118" spans="1:16" x14ac:dyDescent="0.2">
      <c r="A118" t="s">
        <v>38</v>
      </c>
      <c r="B118" t="s">
        <v>4</v>
      </c>
      <c r="C118" s="1">
        <v>116.1</v>
      </c>
      <c r="D118" s="1">
        <v>23.41</v>
      </c>
      <c r="E118">
        <f t="shared" si="6"/>
        <v>23.412574115722755</v>
      </c>
      <c r="L118" t="s">
        <v>38</v>
      </c>
      <c r="M118" t="s">
        <v>6</v>
      </c>
      <c r="N118" s="1">
        <v>10.67</v>
      </c>
      <c r="O118" s="1">
        <v>3.081</v>
      </c>
      <c r="P118">
        <f t="shared" si="5"/>
        <v>2.4955459013515884</v>
      </c>
    </row>
    <row r="119" spans="1:16" x14ac:dyDescent="0.2">
      <c r="A119" t="s">
        <v>39</v>
      </c>
      <c r="B119" t="s">
        <v>4</v>
      </c>
      <c r="C119" s="1">
        <v>116.9</v>
      </c>
      <c r="D119" s="1">
        <v>23.58</v>
      </c>
      <c r="E119">
        <f t="shared" si="6"/>
        <v>23.576139848701697</v>
      </c>
      <c r="L119" t="s">
        <v>39</v>
      </c>
      <c r="M119" t="s">
        <v>6</v>
      </c>
      <c r="N119" s="1">
        <v>11.29</v>
      </c>
      <c r="O119" s="1">
        <v>3.2509999999999999</v>
      </c>
      <c r="P119">
        <f t="shared" si="5"/>
        <v>2.6315824117956819</v>
      </c>
    </row>
    <row r="120" spans="1:16" x14ac:dyDescent="0.2">
      <c r="A120" t="s">
        <v>39</v>
      </c>
      <c r="B120" t="s">
        <v>4</v>
      </c>
      <c r="C120" s="1">
        <v>115.5</v>
      </c>
      <c r="D120" s="1">
        <v>23.29</v>
      </c>
      <c r="E120">
        <f t="shared" si="6"/>
        <v>23.289899815988552</v>
      </c>
      <c r="L120" t="s">
        <v>39</v>
      </c>
      <c r="M120" t="s">
        <v>6</v>
      </c>
      <c r="N120" s="1">
        <v>11.49</v>
      </c>
      <c r="O120" s="1">
        <v>3.306</v>
      </c>
      <c r="P120">
        <f t="shared" si="5"/>
        <v>2.6754651571002284</v>
      </c>
    </row>
    <row r="121" spans="1:16" x14ac:dyDescent="0.2">
      <c r="A121" t="s">
        <v>39</v>
      </c>
      <c r="B121" t="s">
        <v>4</v>
      </c>
      <c r="C121" s="1">
        <v>113.4</v>
      </c>
      <c r="D121" s="1">
        <v>22.86</v>
      </c>
      <c r="E121">
        <f t="shared" si="6"/>
        <v>22.86053976691883</v>
      </c>
      <c r="L121" t="s">
        <v>39</v>
      </c>
      <c r="M121" t="s">
        <v>6</v>
      </c>
      <c r="N121" s="1">
        <v>11.5</v>
      </c>
      <c r="O121" s="1">
        <v>3.3079999999999998</v>
      </c>
      <c r="P121">
        <f t="shared" si="5"/>
        <v>2.6776592943654554</v>
      </c>
    </row>
    <row r="122" spans="1:16" x14ac:dyDescent="0.2">
      <c r="A122" t="s">
        <v>40</v>
      </c>
      <c r="B122" t="s">
        <v>4</v>
      </c>
      <c r="C122" s="1">
        <v>118.9</v>
      </c>
      <c r="D122" s="1">
        <v>23.99</v>
      </c>
      <c r="E122">
        <f t="shared" si="6"/>
        <v>23.985054181149049</v>
      </c>
      <c r="L122" t="s">
        <v>40</v>
      </c>
      <c r="M122" t="s">
        <v>6</v>
      </c>
      <c r="N122" s="1">
        <v>11.54</v>
      </c>
      <c r="O122" s="1">
        <v>3.319</v>
      </c>
      <c r="P122">
        <f t="shared" si="5"/>
        <v>2.6864358434263647</v>
      </c>
    </row>
    <row r="123" spans="1:16" x14ac:dyDescent="0.2">
      <c r="A123" t="s">
        <v>40</v>
      </c>
      <c r="B123" t="s">
        <v>4</v>
      </c>
      <c r="C123" s="1">
        <v>122.1</v>
      </c>
      <c r="D123" s="1">
        <v>24.64</v>
      </c>
      <c r="E123">
        <f t="shared" si="6"/>
        <v>24.639317113064813</v>
      </c>
      <c r="L123" t="s">
        <v>40</v>
      </c>
      <c r="M123" t="s">
        <v>6</v>
      </c>
      <c r="N123" s="1">
        <v>11.65</v>
      </c>
      <c r="O123" s="1">
        <v>3.35</v>
      </c>
      <c r="P123">
        <f t="shared" si="5"/>
        <v>2.7105713533438651</v>
      </c>
    </row>
    <row r="124" spans="1:16" x14ac:dyDescent="0.2">
      <c r="A124" t="s">
        <v>40</v>
      </c>
      <c r="B124" t="s">
        <v>4</v>
      </c>
      <c r="C124" s="1">
        <v>122.9</v>
      </c>
      <c r="D124" s="1">
        <v>24.8</v>
      </c>
      <c r="E124">
        <f t="shared" si="6"/>
        <v>24.802882846043754</v>
      </c>
      <c r="L124" t="s">
        <v>40</v>
      </c>
      <c r="M124" t="s">
        <v>6</v>
      </c>
      <c r="N124" s="1">
        <v>11.81</v>
      </c>
      <c r="O124" s="1">
        <v>3.3929999999999998</v>
      </c>
      <c r="P124">
        <f t="shared" si="5"/>
        <v>2.7456775495875023</v>
      </c>
    </row>
    <row r="125" spans="1:16" x14ac:dyDescent="0.2">
      <c r="A125" t="s">
        <v>41</v>
      </c>
      <c r="B125" t="s">
        <v>4</v>
      </c>
      <c r="C125" s="1">
        <v>112.3</v>
      </c>
      <c r="D125" s="1">
        <v>22.64</v>
      </c>
      <c r="E125">
        <f t="shared" si="6"/>
        <v>22.635636884072785</v>
      </c>
      <c r="L125" t="s">
        <v>41</v>
      </c>
      <c r="M125" t="s">
        <v>6</v>
      </c>
      <c r="N125" s="1">
        <v>11.03</v>
      </c>
      <c r="O125" s="1">
        <v>3.18</v>
      </c>
      <c r="P125">
        <f t="shared" si="5"/>
        <v>2.5745348428997716</v>
      </c>
    </row>
    <row r="126" spans="1:16" x14ac:dyDescent="0.2">
      <c r="A126" t="s">
        <v>41</v>
      </c>
      <c r="B126" t="s">
        <v>4</v>
      </c>
      <c r="C126" s="1">
        <v>109</v>
      </c>
      <c r="D126" s="1">
        <v>21.96</v>
      </c>
      <c r="E126">
        <f t="shared" si="6"/>
        <v>21.960928235534656</v>
      </c>
      <c r="L126" t="s">
        <v>41</v>
      </c>
      <c r="M126" t="s">
        <v>6</v>
      </c>
      <c r="N126" s="1">
        <v>10.8</v>
      </c>
      <c r="O126" s="1">
        <v>3.1160000000000001</v>
      </c>
      <c r="P126">
        <f t="shared" si="5"/>
        <v>2.5240696857995437</v>
      </c>
    </row>
    <row r="127" spans="1:16" x14ac:dyDescent="0.2">
      <c r="A127" t="s">
        <v>41</v>
      </c>
      <c r="B127" t="s">
        <v>4</v>
      </c>
      <c r="C127" s="1">
        <v>109.8</v>
      </c>
      <c r="D127" s="1">
        <v>22.12</v>
      </c>
      <c r="E127">
        <f t="shared" si="6"/>
        <v>22.124493968513594</v>
      </c>
      <c r="L127" t="s">
        <v>41</v>
      </c>
      <c r="M127" t="s">
        <v>6</v>
      </c>
      <c r="N127" s="1">
        <v>10.79</v>
      </c>
      <c r="O127" s="1">
        <v>3.1139999999999999</v>
      </c>
      <c r="P127">
        <f t="shared" si="5"/>
        <v>2.5218755485343163</v>
      </c>
    </row>
    <row r="128" spans="1:16" x14ac:dyDescent="0.2">
      <c r="A128" t="s">
        <v>42</v>
      </c>
      <c r="B128" t="s">
        <v>4</v>
      </c>
      <c r="C128" s="1">
        <v>120.8</v>
      </c>
      <c r="D128" s="1">
        <v>24.37</v>
      </c>
      <c r="E128">
        <f t="shared" si="6"/>
        <v>24.373522796974033</v>
      </c>
      <c r="L128" t="s">
        <v>42</v>
      </c>
      <c r="M128" t="s">
        <v>6</v>
      </c>
      <c r="N128" s="1">
        <v>13.29</v>
      </c>
      <c r="O128" s="1">
        <v>3.7989999999999999</v>
      </c>
      <c r="P128">
        <f t="shared" si="5"/>
        <v>3.0704098648411442</v>
      </c>
    </row>
    <row r="129" spans="1:16" x14ac:dyDescent="0.2">
      <c r="A129" t="s">
        <v>42</v>
      </c>
      <c r="B129" t="s">
        <v>4</v>
      </c>
      <c r="C129" s="1">
        <v>123</v>
      </c>
      <c r="D129" s="1">
        <v>24.82</v>
      </c>
      <c r="E129">
        <f t="shared" si="6"/>
        <v>24.82332856266612</v>
      </c>
      <c r="L129" t="s">
        <v>42</v>
      </c>
      <c r="M129" t="s">
        <v>6</v>
      </c>
      <c r="N129" s="1">
        <v>12.89</v>
      </c>
      <c r="O129" s="1">
        <v>3.69</v>
      </c>
      <c r="P129">
        <f t="shared" si="5"/>
        <v>2.9826443742320521</v>
      </c>
    </row>
    <row r="130" spans="1:16" x14ac:dyDescent="0.2">
      <c r="A130" t="s">
        <v>42</v>
      </c>
      <c r="B130" t="s">
        <v>4</v>
      </c>
      <c r="C130" s="1">
        <v>121.6</v>
      </c>
      <c r="D130" s="1">
        <v>24.54</v>
      </c>
      <c r="E130">
        <f t="shared" si="6"/>
        <v>24.537088529952975</v>
      </c>
      <c r="L130" t="s">
        <v>42</v>
      </c>
      <c r="M130" t="s">
        <v>6</v>
      </c>
      <c r="N130" s="1">
        <v>12.75</v>
      </c>
      <c r="O130" s="1">
        <v>3.6509999999999998</v>
      </c>
      <c r="P130">
        <f t="shared" si="5"/>
        <v>2.9519264525188698</v>
      </c>
    </row>
    <row r="131" spans="1:16" x14ac:dyDescent="0.2">
      <c r="A131" t="s">
        <v>8</v>
      </c>
      <c r="B131" t="s">
        <v>4</v>
      </c>
      <c r="C131" s="1">
        <v>0</v>
      </c>
      <c r="D131" s="1">
        <v>-0.32490000000000002</v>
      </c>
      <c r="E131">
        <f t="shared" si="6"/>
        <v>-0.32490288284604374</v>
      </c>
      <c r="L131" t="s">
        <v>8</v>
      </c>
      <c r="M131" t="s">
        <v>6</v>
      </c>
      <c r="N131" s="1">
        <v>0</v>
      </c>
      <c r="O131" s="1">
        <v>0.15440000000000001</v>
      </c>
      <c r="P131">
        <f t="shared" si="5"/>
        <v>0.15440143935404599</v>
      </c>
    </row>
    <row r="132" spans="1:16" x14ac:dyDescent="0.2">
      <c r="A132" t="s">
        <v>8</v>
      </c>
      <c r="B132" t="s">
        <v>4</v>
      </c>
      <c r="C132" s="1">
        <v>0</v>
      </c>
      <c r="D132" s="1">
        <v>-0.32490000000000002</v>
      </c>
      <c r="E132">
        <f t="shared" si="6"/>
        <v>-0.32490288284604374</v>
      </c>
      <c r="L132" t="s">
        <v>8</v>
      </c>
      <c r="M132" t="s">
        <v>6</v>
      </c>
      <c r="N132" s="1">
        <v>0</v>
      </c>
      <c r="O132" s="1">
        <v>0.15440000000000001</v>
      </c>
      <c r="P132">
        <f t="shared" si="5"/>
        <v>0.15440143935404599</v>
      </c>
    </row>
    <row r="133" spans="1:16" x14ac:dyDescent="0.2">
      <c r="A133" t="s">
        <v>8</v>
      </c>
      <c r="B133" t="s">
        <v>4</v>
      </c>
      <c r="C133" s="1">
        <v>0</v>
      </c>
      <c r="D133" s="1">
        <v>-0.32490000000000002</v>
      </c>
      <c r="E133">
        <f t="shared" si="6"/>
        <v>-0.32490288284604374</v>
      </c>
      <c r="L133" t="s">
        <v>8</v>
      </c>
      <c r="M133" t="s">
        <v>6</v>
      </c>
      <c r="N133" s="1">
        <v>0</v>
      </c>
      <c r="O133" s="1">
        <v>0.15440000000000001</v>
      </c>
      <c r="P133">
        <f t="shared" si="5"/>
        <v>0.15440143935404599</v>
      </c>
    </row>
    <row r="134" spans="1:16" x14ac:dyDescent="0.2">
      <c r="A134" t="s">
        <v>9</v>
      </c>
      <c r="B134" t="s">
        <v>4</v>
      </c>
      <c r="C134" s="1">
        <v>28.87</v>
      </c>
      <c r="D134" s="1">
        <v>22.31</v>
      </c>
      <c r="E134">
        <f t="shared" si="6"/>
        <v>5.5777755060314869</v>
      </c>
      <c r="L134" t="s">
        <v>9</v>
      </c>
      <c r="M134" t="s">
        <v>6</v>
      </c>
      <c r="N134" s="1">
        <v>23.54</v>
      </c>
      <c r="O134" s="1">
        <v>26.44</v>
      </c>
      <c r="P134">
        <f t="shared" si="5"/>
        <v>5.3194005616991404</v>
      </c>
    </row>
    <row r="135" spans="1:16" x14ac:dyDescent="0.2">
      <c r="A135" t="s">
        <v>9</v>
      </c>
      <c r="B135" t="s">
        <v>4</v>
      </c>
      <c r="C135" s="1">
        <v>28.93</v>
      </c>
      <c r="D135" s="1">
        <v>22.36</v>
      </c>
      <c r="E135">
        <f t="shared" si="6"/>
        <v>5.5900429360049069</v>
      </c>
      <c r="L135" t="s">
        <v>9</v>
      </c>
      <c r="M135" t="s">
        <v>6</v>
      </c>
      <c r="N135" s="1">
        <v>23.37</v>
      </c>
      <c r="O135" s="1">
        <v>26.26</v>
      </c>
      <c r="P135">
        <f t="shared" si="5"/>
        <v>5.2821002281902762</v>
      </c>
    </row>
    <row r="136" spans="1:16" x14ac:dyDescent="0.2">
      <c r="A136" t="s">
        <v>9</v>
      </c>
      <c r="B136" t="s">
        <v>4</v>
      </c>
      <c r="C136" s="1">
        <v>28.57</v>
      </c>
      <c r="D136" s="1">
        <v>22.07</v>
      </c>
      <c r="E136">
        <f t="shared" si="6"/>
        <v>5.5164383561643842</v>
      </c>
      <c r="L136" t="s">
        <v>9</v>
      </c>
      <c r="M136" t="s">
        <v>6</v>
      </c>
      <c r="N136" s="1">
        <v>24.17</v>
      </c>
      <c r="O136" s="1">
        <v>27.13</v>
      </c>
      <c r="P136">
        <f t="shared" si="5"/>
        <v>5.4576312094084614</v>
      </c>
    </row>
    <row r="137" spans="1:16" x14ac:dyDescent="0.2">
      <c r="A137" t="s">
        <v>43</v>
      </c>
      <c r="B137" t="s">
        <v>4</v>
      </c>
      <c r="C137" s="1">
        <v>119.7</v>
      </c>
      <c r="D137" s="1">
        <v>24.15</v>
      </c>
      <c r="E137">
        <f t="shared" si="6"/>
        <v>24.148619914127991</v>
      </c>
      <c r="L137" t="s">
        <v>43</v>
      </c>
      <c r="M137" t="s">
        <v>6</v>
      </c>
      <c r="N137" s="1">
        <v>11.69</v>
      </c>
      <c r="O137" s="1">
        <v>3.3610000000000002</v>
      </c>
      <c r="P137">
        <f t="shared" si="5"/>
        <v>2.7193479024047744</v>
      </c>
    </row>
    <row r="138" spans="1:16" x14ac:dyDescent="0.2">
      <c r="A138" t="s">
        <v>43</v>
      </c>
      <c r="B138" t="s">
        <v>4</v>
      </c>
      <c r="C138" s="1">
        <v>116.2</v>
      </c>
      <c r="D138" s="1">
        <v>23.43</v>
      </c>
      <c r="E138">
        <f t="shared" si="6"/>
        <v>23.433019832345124</v>
      </c>
      <c r="L138" t="s">
        <v>43</v>
      </c>
      <c r="M138" t="s">
        <v>6</v>
      </c>
      <c r="N138" s="1">
        <v>11.33</v>
      </c>
      <c r="O138" s="1">
        <v>3.262</v>
      </c>
      <c r="P138">
        <f t="shared" si="5"/>
        <v>2.6403589608565912</v>
      </c>
    </row>
    <row r="139" spans="1:16" x14ac:dyDescent="0.2">
      <c r="A139" t="s">
        <v>43</v>
      </c>
      <c r="B139" t="s">
        <v>4</v>
      </c>
      <c r="C139" s="1">
        <v>120.7</v>
      </c>
      <c r="D139" s="1">
        <v>24.35</v>
      </c>
      <c r="E139">
        <f t="shared" si="6"/>
        <v>24.353077080351667</v>
      </c>
      <c r="L139" t="s">
        <v>43</v>
      </c>
      <c r="M139" t="s">
        <v>6</v>
      </c>
      <c r="N139" s="1">
        <v>11.21</v>
      </c>
      <c r="O139" s="1">
        <v>3.2290000000000001</v>
      </c>
      <c r="P139">
        <f t="shared" si="5"/>
        <v>2.6140293136738637</v>
      </c>
    </row>
    <row r="140" spans="1:16" x14ac:dyDescent="0.2">
      <c r="A140" t="s">
        <v>44</v>
      </c>
      <c r="B140" t="s">
        <v>4</v>
      </c>
      <c r="C140" s="1">
        <v>474.7</v>
      </c>
      <c r="D140" s="1">
        <v>96.73</v>
      </c>
      <c r="E140">
        <f t="shared" si="6"/>
        <v>96.730913923533024</v>
      </c>
      <c r="L140" t="s">
        <v>44</v>
      </c>
      <c r="M140" t="s">
        <v>6</v>
      </c>
      <c r="N140" s="1">
        <v>45.34</v>
      </c>
      <c r="O140" s="1">
        <v>12.59</v>
      </c>
      <c r="P140">
        <f t="shared" si="5"/>
        <v>10.102619799894683</v>
      </c>
    </row>
    <row r="141" spans="1:16" x14ac:dyDescent="0.2">
      <c r="A141" t="s">
        <v>44</v>
      </c>
      <c r="B141" t="s">
        <v>4</v>
      </c>
      <c r="C141" s="1">
        <v>461.6</v>
      </c>
      <c r="D141" s="1">
        <v>94.05</v>
      </c>
      <c r="E141">
        <f t="shared" si="6"/>
        <v>94.05252504600287</v>
      </c>
      <c r="L141" t="s">
        <v>44</v>
      </c>
      <c r="M141" t="s">
        <v>6</v>
      </c>
      <c r="N141" s="1">
        <v>46.35</v>
      </c>
      <c r="O141" s="1">
        <v>12.87</v>
      </c>
      <c r="P141">
        <f t="shared" si="5"/>
        <v>10.32422766368264</v>
      </c>
    </row>
    <row r="142" spans="1:16" x14ac:dyDescent="0.2">
      <c r="A142" t="s">
        <v>44</v>
      </c>
      <c r="B142" t="s">
        <v>4</v>
      </c>
      <c r="C142" s="1">
        <v>477.9</v>
      </c>
      <c r="D142" s="1">
        <v>97.39</v>
      </c>
      <c r="E142">
        <f t="shared" si="6"/>
        <v>97.38517685544879</v>
      </c>
      <c r="L142" t="s">
        <v>44</v>
      </c>
      <c r="M142" t="s">
        <v>6</v>
      </c>
      <c r="N142" s="1">
        <v>45.3</v>
      </c>
      <c r="O142" s="1">
        <v>12.58</v>
      </c>
      <c r="P142">
        <f t="shared" si="5"/>
        <v>10.093843250833771</v>
      </c>
    </row>
    <row r="143" spans="1:16" x14ac:dyDescent="0.2">
      <c r="A143" t="s">
        <v>45</v>
      </c>
      <c r="B143" t="s">
        <v>4</v>
      </c>
      <c r="C143" s="1">
        <v>489.1</v>
      </c>
      <c r="D143" s="1">
        <v>99.68</v>
      </c>
      <c r="E143">
        <f t="shared" si="6"/>
        <v>99.675097117153967</v>
      </c>
      <c r="L143" t="s">
        <v>45</v>
      </c>
      <c r="M143" t="s">
        <v>6</v>
      </c>
      <c r="N143" s="1">
        <v>48.18</v>
      </c>
      <c r="O143" s="1">
        <v>13.37</v>
      </c>
      <c r="P143">
        <f t="shared" si="5"/>
        <v>10.725754783219237</v>
      </c>
    </row>
    <row r="144" spans="1:16" x14ac:dyDescent="0.2">
      <c r="A144" t="s">
        <v>45</v>
      </c>
      <c r="B144" t="s">
        <v>4</v>
      </c>
      <c r="C144" s="1">
        <v>474.3</v>
      </c>
      <c r="D144" s="1">
        <v>96.65</v>
      </c>
      <c r="E144">
        <f t="shared" si="6"/>
        <v>96.649131057043562</v>
      </c>
      <c r="L144" t="s">
        <v>45</v>
      </c>
      <c r="M144" t="s">
        <v>6</v>
      </c>
      <c r="N144" s="1">
        <v>47.67</v>
      </c>
      <c r="O144" s="1">
        <v>13.23</v>
      </c>
      <c r="P144">
        <f t="shared" si="5"/>
        <v>10.613853782692646</v>
      </c>
    </row>
    <row r="145" spans="1:16" x14ac:dyDescent="0.2">
      <c r="A145" t="s">
        <v>45</v>
      </c>
      <c r="B145" t="s">
        <v>4</v>
      </c>
      <c r="C145" s="1">
        <v>487.2</v>
      </c>
      <c r="D145" s="1">
        <v>99.29</v>
      </c>
      <c r="E145">
        <f t="shared" si="6"/>
        <v>99.286628501328977</v>
      </c>
      <c r="L145" t="s">
        <v>45</v>
      </c>
      <c r="M145" t="s">
        <v>6</v>
      </c>
      <c r="N145" s="1">
        <v>47.88</v>
      </c>
      <c r="O145" s="1">
        <v>13.29</v>
      </c>
      <c r="P145">
        <f t="shared" si="5"/>
        <v>10.659930665262419</v>
      </c>
    </row>
    <row r="146" spans="1:16" x14ac:dyDescent="0.2">
      <c r="A146" t="s">
        <v>46</v>
      </c>
      <c r="B146" t="s">
        <v>4</v>
      </c>
      <c r="C146" s="1">
        <v>476</v>
      </c>
      <c r="D146" s="1">
        <v>97</v>
      </c>
      <c r="E146">
        <f t="shared" si="6"/>
        <v>96.9967082396238</v>
      </c>
      <c r="L146" t="s">
        <v>46</v>
      </c>
      <c r="M146" t="s">
        <v>6</v>
      </c>
      <c r="N146" s="1">
        <v>46</v>
      </c>
      <c r="O146" s="1">
        <v>12.77</v>
      </c>
      <c r="P146">
        <f t="shared" si="5"/>
        <v>10.247432859399684</v>
      </c>
    </row>
    <row r="147" spans="1:16" x14ac:dyDescent="0.2">
      <c r="A147" t="s">
        <v>46</v>
      </c>
      <c r="B147" t="s">
        <v>4</v>
      </c>
      <c r="C147" s="1">
        <v>493.5</v>
      </c>
      <c r="D147" s="1">
        <v>100.6</v>
      </c>
      <c r="E147">
        <f t="shared" si="6"/>
        <v>100.57470864853813</v>
      </c>
      <c r="L147" t="s">
        <v>46</v>
      </c>
      <c r="M147" t="s">
        <v>6</v>
      </c>
      <c r="N147" s="1">
        <v>47.2</v>
      </c>
      <c r="O147" s="1">
        <v>13.1</v>
      </c>
      <c r="P147">
        <f t="shared" si="5"/>
        <v>10.510729331226962</v>
      </c>
    </row>
    <row r="148" spans="1:16" x14ac:dyDescent="0.2">
      <c r="A148" t="s">
        <v>46</v>
      </c>
      <c r="B148" t="s">
        <v>4</v>
      </c>
      <c r="C148" s="1">
        <v>478</v>
      </c>
      <c r="D148" s="1">
        <v>97.41</v>
      </c>
      <c r="E148">
        <f t="shared" si="6"/>
        <v>97.405622572071152</v>
      </c>
      <c r="L148" t="s">
        <v>46</v>
      </c>
      <c r="M148" t="s">
        <v>6</v>
      </c>
      <c r="N148" s="1">
        <v>45.82</v>
      </c>
      <c r="O148" s="1">
        <v>12.72</v>
      </c>
      <c r="P148">
        <f t="shared" si="5"/>
        <v>10.207938388625593</v>
      </c>
    </row>
    <row r="149" spans="1:16" x14ac:dyDescent="0.2">
      <c r="A149" t="s">
        <v>47</v>
      </c>
      <c r="B149" t="s">
        <v>4</v>
      </c>
      <c r="C149" s="1">
        <v>14.8</v>
      </c>
      <c r="D149" s="1">
        <v>2.7010000000000001</v>
      </c>
      <c r="E149">
        <f t="shared" si="6"/>
        <v>2.7010631772643632</v>
      </c>
      <c r="L149" t="s">
        <v>47</v>
      </c>
      <c r="M149" t="s">
        <v>6</v>
      </c>
      <c r="N149" s="1">
        <v>0</v>
      </c>
      <c r="O149" s="1">
        <v>0.15440000000000001</v>
      </c>
      <c r="P149">
        <f t="shared" ref="P149:P212" si="7">(N149+0.7037)/4.5576</f>
        <v>0.15440143935404599</v>
      </c>
    </row>
    <row r="150" spans="1:16" x14ac:dyDescent="0.2">
      <c r="A150" t="s">
        <v>47</v>
      </c>
      <c r="B150" t="s">
        <v>4</v>
      </c>
      <c r="C150" s="1">
        <v>14.47</v>
      </c>
      <c r="D150" s="1">
        <v>2.6339999999999999</v>
      </c>
      <c r="E150">
        <f t="shared" si="6"/>
        <v>2.63359231241055</v>
      </c>
      <c r="L150" t="s">
        <v>47</v>
      </c>
      <c r="M150" t="s">
        <v>6</v>
      </c>
      <c r="N150" s="1">
        <v>0</v>
      </c>
      <c r="O150" s="1">
        <v>0.15440000000000001</v>
      </c>
      <c r="P150">
        <f t="shared" si="7"/>
        <v>0.15440143935404599</v>
      </c>
    </row>
    <row r="151" spans="1:16" x14ac:dyDescent="0.2">
      <c r="A151" t="s">
        <v>47</v>
      </c>
      <c r="B151" t="s">
        <v>4</v>
      </c>
      <c r="C151" s="1">
        <v>14.3</v>
      </c>
      <c r="D151" s="1">
        <v>2.5990000000000002</v>
      </c>
      <c r="E151">
        <f t="shared" si="6"/>
        <v>2.598834594152525</v>
      </c>
      <c r="L151" t="s">
        <v>47</v>
      </c>
      <c r="M151" t="s">
        <v>6</v>
      </c>
      <c r="N151" s="1">
        <v>0</v>
      </c>
      <c r="O151" s="1">
        <v>0.15440000000000001</v>
      </c>
      <c r="P151">
        <f t="shared" si="7"/>
        <v>0.15440143935404599</v>
      </c>
    </row>
    <row r="152" spans="1:16" x14ac:dyDescent="0.2">
      <c r="A152" t="s">
        <v>48</v>
      </c>
      <c r="B152" t="s">
        <v>4</v>
      </c>
      <c r="C152" s="1">
        <v>13.18</v>
      </c>
      <c r="D152" s="1">
        <v>2.37</v>
      </c>
      <c r="E152">
        <f t="shared" ref="E152:E215" si="8">(C152-1.5891)/4.891</f>
        <v>2.3698425679820079</v>
      </c>
      <c r="L152" t="s">
        <v>48</v>
      </c>
      <c r="M152" t="s">
        <v>6</v>
      </c>
      <c r="N152" s="1">
        <v>0</v>
      </c>
      <c r="O152" s="1">
        <v>0.15440000000000001</v>
      </c>
      <c r="P152">
        <f t="shared" si="7"/>
        <v>0.15440143935404599</v>
      </c>
    </row>
    <row r="153" spans="1:16" x14ac:dyDescent="0.2">
      <c r="A153" t="s">
        <v>48</v>
      </c>
      <c r="B153" t="s">
        <v>4</v>
      </c>
      <c r="C153" s="1">
        <v>13.1</v>
      </c>
      <c r="D153" s="1">
        <v>2.3540000000000001</v>
      </c>
      <c r="E153">
        <f t="shared" si="8"/>
        <v>2.3534859946841133</v>
      </c>
      <c r="L153" t="s">
        <v>48</v>
      </c>
      <c r="M153" t="s">
        <v>6</v>
      </c>
      <c r="N153" s="1">
        <v>0</v>
      </c>
      <c r="O153" s="1">
        <v>0.15440000000000001</v>
      </c>
      <c r="P153">
        <f t="shared" si="7"/>
        <v>0.15440143935404599</v>
      </c>
    </row>
    <row r="154" spans="1:16" x14ac:dyDescent="0.2">
      <c r="A154" t="s">
        <v>48</v>
      </c>
      <c r="B154" t="s">
        <v>4</v>
      </c>
      <c r="C154" s="1">
        <v>13.18</v>
      </c>
      <c r="D154" s="1">
        <v>2.37</v>
      </c>
      <c r="E154">
        <f t="shared" si="8"/>
        <v>2.3698425679820079</v>
      </c>
      <c r="L154" t="s">
        <v>48</v>
      </c>
      <c r="M154" t="s">
        <v>6</v>
      </c>
      <c r="N154" s="1">
        <v>0</v>
      </c>
      <c r="O154" s="1">
        <v>0.15440000000000001</v>
      </c>
      <c r="P154">
        <f t="shared" si="7"/>
        <v>0.15440143935404599</v>
      </c>
    </row>
    <row r="155" spans="1:16" x14ac:dyDescent="0.2">
      <c r="A155" t="s">
        <v>49</v>
      </c>
      <c r="B155" t="s">
        <v>4</v>
      </c>
      <c r="C155" s="1">
        <v>11.9</v>
      </c>
      <c r="D155" s="1">
        <v>2.1080000000000001</v>
      </c>
      <c r="E155">
        <f t="shared" si="8"/>
        <v>2.1081373952157025</v>
      </c>
      <c r="L155" t="s">
        <v>49</v>
      </c>
      <c r="M155" t="s">
        <v>6</v>
      </c>
      <c r="N155" s="1">
        <v>2.2999999999999998</v>
      </c>
      <c r="O155" s="1">
        <v>0.78520000000000001</v>
      </c>
      <c r="P155">
        <f t="shared" si="7"/>
        <v>0.65905301035632791</v>
      </c>
    </row>
    <row r="156" spans="1:16" x14ac:dyDescent="0.2">
      <c r="A156" t="s">
        <v>49</v>
      </c>
      <c r="B156" t="s">
        <v>4</v>
      </c>
      <c r="C156" s="1">
        <v>11.6</v>
      </c>
      <c r="D156" s="1">
        <v>2.0470000000000002</v>
      </c>
      <c r="E156">
        <f t="shared" si="8"/>
        <v>2.0468002453485994</v>
      </c>
      <c r="L156" t="s">
        <v>49</v>
      </c>
      <c r="M156" t="s">
        <v>6</v>
      </c>
      <c r="N156" s="1">
        <v>2.2679999999999998</v>
      </c>
      <c r="O156" s="1">
        <v>0.77639999999999998</v>
      </c>
      <c r="P156">
        <f t="shared" si="7"/>
        <v>0.65203177110760047</v>
      </c>
    </row>
    <row r="157" spans="1:16" x14ac:dyDescent="0.2">
      <c r="A157" t="s">
        <v>49</v>
      </c>
      <c r="B157" t="s">
        <v>4</v>
      </c>
      <c r="C157" s="1">
        <v>11.81</v>
      </c>
      <c r="D157" s="1">
        <v>2.09</v>
      </c>
      <c r="E157">
        <f t="shared" si="8"/>
        <v>2.0897362502555716</v>
      </c>
      <c r="L157" t="s">
        <v>49</v>
      </c>
      <c r="M157" t="s">
        <v>6</v>
      </c>
      <c r="N157" s="1">
        <v>2.101</v>
      </c>
      <c r="O157" s="1">
        <v>0.73060000000000003</v>
      </c>
      <c r="P157">
        <f t="shared" si="7"/>
        <v>0.61538967877830442</v>
      </c>
    </row>
    <row r="158" spans="1:16" x14ac:dyDescent="0.2">
      <c r="A158" t="s">
        <v>50</v>
      </c>
      <c r="B158" t="s">
        <v>4</v>
      </c>
      <c r="C158" s="1">
        <v>17.54</v>
      </c>
      <c r="D158" s="1">
        <v>3.2610000000000001</v>
      </c>
      <c r="E158">
        <f t="shared" si="8"/>
        <v>3.2612758127172357</v>
      </c>
      <c r="L158" t="s">
        <v>50</v>
      </c>
      <c r="M158" t="s">
        <v>6</v>
      </c>
      <c r="N158" s="1">
        <v>1.821</v>
      </c>
      <c r="O158" s="1">
        <v>0.65380000000000005</v>
      </c>
      <c r="P158">
        <f t="shared" si="7"/>
        <v>0.55395383535193965</v>
      </c>
    </row>
    <row r="159" spans="1:16" x14ac:dyDescent="0.2">
      <c r="A159" t="s">
        <v>50</v>
      </c>
      <c r="B159" t="s">
        <v>4</v>
      </c>
      <c r="C159" s="1">
        <v>17.690000000000001</v>
      </c>
      <c r="D159" s="1">
        <v>3.2919999999999998</v>
      </c>
      <c r="E159">
        <f t="shared" si="8"/>
        <v>3.2919443876507879</v>
      </c>
      <c r="L159" t="s">
        <v>50</v>
      </c>
      <c r="M159" t="s">
        <v>6</v>
      </c>
      <c r="N159" s="1">
        <v>1.724</v>
      </c>
      <c r="O159" s="1">
        <v>0.62719999999999998</v>
      </c>
      <c r="P159">
        <f t="shared" si="7"/>
        <v>0.53267070387923465</v>
      </c>
    </row>
    <row r="160" spans="1:16" x14ac:dyDescent="0.2">
      <c r="A160" t="s">
        <v>50</v>
      </c>
      <c r="B160" t="s">
        <v>4</v>
      </c>
      <c r="C160" s="1">
        <v>18.09</v>
      </c>
      <c r="D160" s="1">
        <v>3.3740000000000001</v>
      </c>
      <c r="E160">
        <f t="shared" si="8"/>
        <v>3.3737272541402579</v>
      </c>
      <c r="L160" t="s">
        <v>50</v>
      </c>
      <c r="M160" t="s">
        <v>6</v>
      </c>
      <c r="N160" s="1">
        <v>1.7010000000000001</v>
      </c>
      <c r="O160" s="1">
        <v>0.62090000000000001</v>
      </c>
      <c r="P160">
        <f t="shared" si="7"/>
        <v>0.52762418816921186</v>
      </c>
    </row>
    <row r="161" spans="1:16" x14ac:dyDescent="0.2">
      <c r="A161" t="s">
        <v>51</v>
      </c>
      <c r="B161" t="s">
        <v>4</v>
      </c>
      <c r="C161" s="1">
        <v>18.399999999999999</v>
      </c>
      <c r="D161" s="1">
        <v>3.4369999999999998</v>
      </c>
      <c r="E161">
        <f t="shared" si="8"/>
        <v>3.4371089756695974</v>
      </c>
      <c r="L161" t="s">
        <v>51</v>
      </c>
      <c r="M161" t="s">
        <v>6</v>
      </c>
      <c r="N161" s="1">
        <v>1.9</v>
      </c>
      <c r="O161" s="1">
        <v>0.67549999999999999</v>
      </c>
      <c r="P161">
        <f t="shared" si="7"/>
        <v>0.57128751974723535</v>
      </c>
    </row>
    <row r="162" spans="1:16" x14ac:dyDescent="0.2">
      <c r="A162" t="s">
        <v>51</v>
      </c>
      <c r="B162" t="s">
        <v>4</v>
      </c>
      <c r="C162" s="1">
        <v>18.059999999999999</v>
      </c>
      <c r="D162" s="1">
        <v>3.3679999999999999</v>
      </c>
      <c r="E162">
        <f t="shared" si="8"/>
        <v>3.3675935391535474</v>
      </c>
      <c r="L162" t="s">
        <v>51</v>
      </c>
      <c r="M162" t="s">
        <v>6</v>
      </c>
      <c r="N162" s="1">
        <v>1.7070000000000001</v>
      </c>
      <c r="O162" s="1">
        <v>0.62260000000000004</v>
      </c>
      <c r="P162">
        <f t="shared" si="7"/>
        <v>0.52894067052834837</v>
      </c>
    </row>
    <row r="163" spans="1:16" x14ac:dyDescent="0.2">
      <c r="A163" t="s">
        <v>51</v>
      </c>
      <c r="B163" t="s">
        <v>4</v>
      </c>
      <c r="C163" s="1">
        <v>18.27</v>
      </c>
      <c r="D163" s="1">
        <v>3.411</v>
      </c>
      <c r="E163">
        <f t="shared" si="8"/>
        <v>3.4105295440605197</v>
      </c>
      <c r="L163" t="s">
        <v>51</v>
      </c>
      <c r="M163" t="s">
        <v>6</v>
      </c>
      <c r="N163" s="1">
        <v>1.8979999999999999</v>
      </c>
      <c r="O163" s="1">
        <v>0.67490000000000006</v>
      </c>
      <c r="P163">
        <f t="shared" si="7"/>
        <v>0.57084869229419</v>
      </c>
    </row>
    <row r="164" spans="1:16" x14ac:dyDescent="0.2">
      <c r="A164" t="s">
        <v>52</v>
      </c>
      <c r="B164" t="s">
        <v>4</v>
      </c>
      <c r="C164" s="1">
        <v>17.07</v>
      </c>
      <c r="D164" s="1">
        <v>3.165</v>
      </c>
      <c r="E164">
        <f t="shared" si="8"/>
        <v>3.165180944592108</v>
      </c>
      <c r="L164" t="s">
        <v>52</v>
      </c>
      <c r="M164" t="s">
        <v>6</v>
      </c>
      <c r="N164" s="1">
        <v>1.718</v>
      </c>
      <c r="O164" s="1">
        <v>0.62560000000000004</v>
      </c>
      <c r="P164">
        <f t="shared" si="7"/>
        <v>0.53135422152009826</v>
      </c>
    </row>
    <row r="165" spans="1:16" x14ac:dyDescent="0.2">
      <c r="A165" t="s">
        <v>52</v>
      </c>
      <c r="B165" t="s">
        <v>4</v>
      </c>
      <c r="C165" s="1">
        <v>16.96</v>
      </c>
      <c r="D165" s="1">
        <v>3.1429999999999998</v>
      </c>
      <c r="E165">
        <f t="shared" si="8"/>
        <v>3.1426906563075039</v>
      </c>
      <c r="L165" t="s">
        <v>52</v>
      </c>
      <c r="M165" t="s">
        <v>6</v>
      </c>
      <c r="N165" s="1">
        <v>1.889</v>
      </c>
      <c r="O165" s="1">
        <v>0.67249999999999999</v>
      </c>
      <c r="P165">
        <f t="shared" si="7"/>
        <v>0.56887396875548535</v>
      </c>
    </row>
    <row r="166" spans="1:16" x14ac:dyDescent="0.2">
      <c r="A166" t="s">
        <v>52</v>
      </c>
      <c r="B166" t="s">
        <v>4</v>
      </c>
      <c r="C166" s="1">
        <v>17.59</v>
      </c>
      <c r="D166" s="1">
        <v>3.2719999999999998</v>
      </c>
      <c r="E166">
        <f t="shared" si="8"/>
        <v>3.2714986710284197</v>
      </c>
      <c r="L166" t="s">
        <v>52</v>
      </c>
      <c r="M166" t="s">
        <v>6</v>
      </c>
      <c r="N166" s="1">
        <v>1.6120000000000001</v>
      </c>
      <c r="O166" s="1">
        <v>0.59650000000000003</v>
      </c>
      <c r="P166">
        <f t="shared" si="7"/>
        <v>0.50809636650868883</v>
      </c>
    </row>
    <row r="167" spans="1:16" x14ac:dyDescent="0.2">
      <c r="A167" t="s">
        <v>53</v>
      </c>
      <c r="B167" t="s">
        <v>4</v>
      </c>
      <c r="C167" s="1">
        <v>37.72</v>
      </c>
      <c r="D167" s="1">
        <v>7.3869999999999996</v>
      </c>
      <c r="E167">
        <f t="shared" si="8"/>
        <v>7.3872214271110197</v>
      </c>
      <c r="L167" t="s">
        <v>53</v>
      </c>
      <c r="M167" t="s">
        <v>6</v>
      </c>
      <c r="N167" s="1">
        <v>5.3650000000000002</v>
      </c>
      <c r="O167" s="1">
        <v>1.6259999999999999</v>
      </c>
      <c r="P167">
        <f t="shared" si="7"/>
        <v>1.3315560821484993</v>
      </c>
    </row>
    <row r="168" spans="1:16" x14ac:dyDescent="0.2">
      <c r="A168" t="s">
        <v>53</v>
      </c>
      <c r="B168" t="s">
        <v>4</v>
      </c>
      <c r="C168" s="1">
        <v>37.19</v>
      </c>
      <c r="D168" s="1">
        <v>7.2789999999999999</v>
      </c>
      <c r="E168">
        <f t="shared" si="8"/>
        <v>7.2788591290124707</v>
      </c>
      <c r="L168" t="s">
        <v>53</v>
      </c>
      <c r="M168" t="s">
        <v>6</v>
      </c>
      <c r="N168" s="1">
        <v>5.5110000000000001</v>
      </c>
      <c r="O168" s="1">
        <v>1.6659999999999999</v>
      </c>
      <c r="P168">
        <f t="shared" si="7"/>
        <v>1.3635904862208181</v>
      </c>
    </row>
    <row r="169" spans="1:16" x14ac:dyDescent="0.2">
      <c r="A169" t="s">
        <v>53</v>
      </c>
      <c r="B169" t="s">
        <v>4</v>
      </c>
      <c r="C169" s="1">
        <v>35.96</v>
      </c>
      <c r="D169" s="1">
        <v>7.0270000000000001</v>
      </c>
      <c r="E169">
        <f t="shared" si="8"/>
        <v>7.0273768145573499</v>
      </c>
      <c r="L169" t="s">
        <v>53</v>
      </c>
      <c r="M169" t="s">
        <v>6</v>
      </c>
      <c r="N169" s="1">
        <v>5.4269999999999996</v>
      </c>
      <c r="O169" s="1">
        <v>1.643</v>
      </c>
      <c r="P169">
        <f t="shared" si="7"/>
        <v>1.3451597331929084</v>
      </c>
    </row>
    <row r="170" spans="1:16" x14ac:dyDescent="0.2">
      <c r="A170" t="s">
        <v>54</v>
      </c>
      <c r="B170" t="s">
        <v>4</v>
      </c>
      <c r="C170" s="1">
        <v>37.43</v>
      </c>
      <c r="D170" s="1">
        <v>7.3280000000000003</v>
      </c>
      <c r="E170">
        <f t="shared" si="8"/>
        <v>7.3279288489061534</v>
      </c>
      <c r="L170" t="s">
        <v>54</v>
      </c>
      <c r="M170" t="s">
        <v>6</v>
      </c>
      <c r="N170" s="1">
        <v>5.2750000000000004</v>
      </c>
      <c r="O170" s="1">
        <v>1.601</v>
      </c>
      <c r="P170">
        <f t="shared" si="7"/>
        <v>1.3118088467614535</v>
      </c>
    </row>
    <row r="171" spans="1:16" x14ac:dyDescent="0.2">
      <c r="A171" t="s">
        <v>54</v>
      </c>
      <c r="B171" t="s">
        <v>4</v>
      </c>
      <c r="C171" s="1">
        <v>37.119999999999997</v>
      </c>
      <c r="D171" s="1">
        <v>7.2649999999999997</v>
      </c>
      <c r="E171">
        <f t="shared" si="8"/>
        <v>7.2645471273768134</v>
      </c>
      <c r="L171" t="s">
        <v>54</v>
      </c>
      <c r="M171" t="s">
        <v>6</v>
      </c>
      <c r="N171" s="1">
        <v>5.2590000000000003</v>
      </c>
      <c r="O171" s="1">
        <v>1.597</v>
      </c>
      <c r="P171">
        <f t="shared" si="7"/>
        <v>1.3082982271370898</v>
      </c>
    </row>
    <row r="172" spans="1:16" x14ac:dyDescent="0.2">
      <c r="A172" t="s">
        <v>54</v>
      </c>
      <c r="B172" t="s">
        <v>4</v>
      </c>
      <c r="C172" s="1">
        <v>37.869999999999997</v>
      </c>
      <c r="D172" s="1">
        <v>7.4180000000000001</v>
      </c>
      <c r="E172">
        <f t="shared" si="8"/>
        <v>7.4178900020445706</v>
      </c>
      <c r="L172" t="s">
        <v>54</v>
      </c>
      <c r="M172" t="s">
        <v>6</v>
      </c>
      <c r="N172" s="1">
        <v>5.0789999999999997</v>
      </c>
      <c r="O172" s="1">
        <v>1.5469999999999999</v>
      </c>
      <c r="P172">
        <f t="shared" si="7"/>
        <v>1.2688037563629981</v>
      </c>
    </row>
    <row r="173" spans="1:16" x14ac:dyDescent="0.2">
      <c r="A173" t="s">
        <v>55</v>
      </c>
      <c r="B173" t="s">
        <v>4</v>
      </c>
      <c r="C173" s="1">
        <v>36.909999999999997</v>
      </c>
      <c r="D173" s="1">
        <v>7.2220000000000004</v>
      </c>
      <c r="E173">
        <f t="shared" si="8"/>
        <v>7.2216111224698416</v>
      </c>
      <c r="L173" t="s">
        <v>55</v>
      </c>
      <c r="M173" t="s">
        <v>6</v>
      </c>
      <c r="N173" s="1">
        <v>5.0339999999999998</v>
      </c>
      <c r="O173" s="1">
        <v>1.5349999999999999</v>
      </c>
      <c r="P173">
        <f t="shared" si="7"/>
        <v>1.2589301386694753</v>
      </c>
    </row>
    <row r="174" spans="1:16" x14ac:dyDescent="0.2">
      <c r="A174" t="s">
        <v>55</v>
      </c>
      <c r="B174" t="s">
        <v>4</v>
      </c>
      <c r="C174" s="1">
        <v>36.700000000000003</v>
      </c>
      <c r="D174" s="1">
        <v>7.1790000000000003</v>
      </c>
      <c r="E174">
        <f t="shared" si="8"/>
        <v>7.1786751175628707</v>
      </c>
      <c r="L174" t="s">
        <v>55</v>
      </c>
      <c r="M174" t="s">
        <v>6</v>
      </c>
      <c r="N174" s="1">
        <v>4.8710000000000004</v>
      </c>
      <c r="O174" s="1">
        <v>1.49</v>
      </c>
      <c r="P174">
        <f t="shared" si="7"/>
        <v>1.22316570124627</v>
      </c>
    </row>
    <row r="175" spans="1:16" x14ac:dyDescent="0.2">
      <c r="A175" t="s">
        <v>55</v>
      </c>
      <c r="B175" t="s">
        <v>4</v>
      </c>
      <c r="C175" s="1">
        <v>36.78</v>
      </c>
      <c r="D175" s="1">
        <v>7.1950000000000003</v>
      </c>
      <c r="E175">
        <f t="shared" si="8"/>
        <v>7.1950316908607643</v>
      </c>
      <c r="L175" t="s">
        <v>55</v>
      </c>
      <c r="M175" t="s">
        <v>6</v>
      </c>
      <c r="N175" s="1">
        <v>4.9119999999999999</v>
      </c>
      <c r="O175" s="1">
        <v>1.502</v>
      </c>
      <c r="P175">
        <f t="shared" si="7"/>
        <v>1.2321616640337021</v>
      </c>
    </row>
    <row r="176" spans="1:16" x14ac:dyDescent="0.2">
      <c r="A176" t="s">
        <v>8</v>
      </c>
      <c r="B176" t="s">
        <v>4</v>
      </c>
      <c r="C176" s="1">
        <v>0.2392</v>
      </c>
      <c r="D176" s="1">
        <v>-0.27600000000000002</v>
      </c>
      <c r="E176">
        <f t="shared" si="8"/>
        <v>-0.27599672868534042</v>
      </c>
      <c r="L176" t="s">
        <v>8</v>
      </c>
      <c r="M176" t="s">
        <v>6</v>
      </c>
      <c r="N176" s="1">
        <v>0</v>
      </c>
      <c r="O176" s="1">
        <v>0.15440000000000001</v>
      </c>
      <c r="P176">
        <f t="shared" si="7"/>
        <v>0.15440143935404599</v>
      </c>
    </row>
    <row r="177" spans="1:16" x14ac:dyDescent="0.2">
      <c r="A177" t="s">
        <v>8</v>
      </c>
      <c r="B177" t="s">
        <v>4</v>
      </c>
      <c r="C177" s="1">
        <v>0.36759999999999998</v>
      </c>
      <c r="D177" s="1">
        <v>-0.24970000000000001</v>
      </c>
      <c r="E177">
        <f t="shared" si="8"/>
        <v>-0.2497444285422204</v>
      </c>
      <c r="L177" t="s">
        <v>8</v>
      </c>
      <c r="M177" t="s">
        <v>6</v>
      </c>
      <c r="N177" s="1">
        <v>0</v>
      </c>
      <c r="O177" s="1">
        <v>0.15440000000000001</v>
      </c>
      <c r="P177">
        <f t="shared" si="7"/>
        <v>0.15440143935404599</v>
      </c>
    </row>
    <row r="178" spans="1:16" x14ac:dyDescent="0.2">
      <c r="A178" t="s">
        <v>8</v>
      </c>
      <c r="B178" t="s">
        <v>4</v>
      </c>
      <c r="C178" s="1">
        <v>0.32240000000000002</v>
      </c>
      <c r="D178" s="1">
        <v>-0.25900000000000001</v>
      </c>
      <c r="E178">
        <f t="shared" si="8"/>
        <v>-0.25898589245553055</v>
      </c>
      <c r="L178" t="s">
        <v>8</v>
      </c>
      <c r="M178" t="s">
        <v>6</v>
      </c>
      <c r="N178" s="1">
        <v>0</v>
      </c>
      <c r="O178" s="1">
        <v>0.15440000000000001</v>
      </c>
      <c r="P178">
        <f t="shared" si="7"/>
        <v>0.15440143935404599</v>
      </c>
    </row>
    <row r="179" spans="1:16" x14ac:dyDescent="0.2">
      <c r="A179" t="s">
        <v>9</v>
      </c>
      <c r="B179" t="s">
        <v>4</v>
      </c>
      <c r="C179" s="1">
        <v>28.34</v>
      </c>
      <c r="D179" s="1">
        <v>21.88</v>
      </c>
      <c r="E179">
        <f t="shared" si="8"/>
        <v>5.4694132079329387</v>
      </c>
      <c r="L179" t="s">
        <v>9</v>
      </c>
      <c r="M179" t="s">
        <v>6</v>
      </c>
      <c r="N179" s="1">
        <v>22.38</v>
      </c>
      <c r="O179" s="1">
        <v>25.17</v>
      </c>
      <c r="P179">
        <f t="shared" si="7"/>
        <v>5.0648806389327721</v>
      </c>
    </row>
    <row r="180" spans="1:16" x14ac:dyDescent="0.2">
      <c r="A180" t="s">
        <v>9</v>
      </c>
      <c r="B180" t="s">
        <v>4</v>
      </c>
      <c r="C180" s="1">
        <v>29.67</v>
      </c>
      <c r="D180" s="1">
        <v>22.97</v>
      </c>
      <c r="E180">
        <f t="shared" si="8"/>
        <v>5.7413412390104277</v>
      </c>
      <c r="L180" t="s">
        <v>9</v>
      </c>
      <c r="M180" t="s">
        <v>6</v>
      </c>
      <c r="N180" s="1">
        <v>22.93</v>
      </c>
      <c r="O180" s="1">
        <v>25.77</v>
      </c>
      <c r="P180">
        <f t="shared" si="7"/>
        <v>5.1855581885202744</v>
      </c>
    </row>
    <row r="181" spans="1:16" x14ac:dyDescent="0.2">
      <c r="A181" t="s">
        <v>9</v>
      </c>
      <c r="B181" t="s">
        <v>4</v>
      </c>
      <c r="C181" s="1">
        <v>28.78</v>
      </c>
      <c r="D181" s="1">
        <v>22.24</v>
      </c>
      <c r="E181">
        <f t="shared" si="8"/>
        <v>5.559374361071356</v>
      </c>
      <c r="L181" t="s">
        <v>9</v>
      </c>
      <c r="M181" t="s">
        <v>6</v>
      </c>
      <c r="N181" s="1">
        <v>22.47</v>
      </c>
      <c r="O181" s="1">
        <v>25.27</v>
      </c>
      <c r="P181">
        <f t="shared" si="7"/>
        <v>5.0846278743198177</v>
      </c>
    </row>
    <row r="182" spans="1:16" x14ac:dyDescent="0.2">
      <c r="A182" t="s">
        <v>56</v>
      </c>
      <c r="B182" t="s">
        <v>4</v>
      </c>
      <c r="C182" s="1">
        <v>16.559999999999999</v>
      </c>
      <c r="D182" s="1">
        <v>3.0609999999999999</v>
      </c>
      <c r="E182">
        <f t="shared" si="8"/>
        <v>3.060907789818033</v>
      </c>
      <c r="L182" t="s">
        <v>56</v>
      </c>
      <c r="M182" t="s">
        <v>6</v>
      </c>
      <c r="N182" s="1">
        <v>1.577</v>
      </c>
      <c r="O182" s="1">
        <v>0.58689999999999998</v>
      </c>
      <c r="P182">
        <f t="shared" si="7"/>
        <v>0.50041688608039314</v>
      </c>
    </row>
    <row r="183" spans="1:16" x14ac:dyDescent="0.2">
      <c r="A183" t="s">
        <v>56</v>
      </c>
      <c r="B183" t="s">
        <v>4</v>
      </c>
      <c r="C183" s="1">
        <v>16.46</v>
      </c>
      <c r="D183" s="1">
        <v>3.04</v>
      </c>
      <c r="E183">
        <f t="shared" si="8"/>
        <v>3.0404620731956657</v>
      </c>
      <c r="L183" t="s">
        <v>56</v>
      </c>
      <c r="M183" t="s">
        <v>6</v>
      </c>
      <c r="N183" s="1">
        <v>1.405</v>
      </c>
      <c r="O183" s="1">
        <v>0.53969999999999996</v>
      </c>
      <c r="P183">
        <f t="shared" si="7"/>
        <v>0.46267772511848337</v>
      </c>
    </row>
    <row r="184" spans="1:16" x14ac:dyDescent="0.2">
      <c r="A184" t="s">
        <v>56</v>
      </c>
      <c r="B184" t="s">
        <v>4</v>
      </c>
      <c r="C184" s="1">
        <v>16.84</v>
      </c>
      <c r="D184" s="1">
        <v>3.1179999999999999</v>
      </c>
      <c r="E184">
        <f t="shared" si="8"/>
        <v>3.1181557963606625</v>
      </c>
      <c r="L184" t="s">
        <v>56</v>
      </c>
      <c r="M184" t="s">
        <v>6</v>
      </c>
      <c r="N184" s="1">
        <v>1.44</v>
      </c>
      <c r="O184" s="1">
        <v>0.54930000000000001</v>
      </c>
      <c r="P184">
        <f t="shared" si="7"/>
        <v>0.47035720554677901</v>
      </c>
    </row>
    <row r="185" spans="1:16" x14ac:dyDescent="0.2">
      <c r="A185" t="s">
        <v>57</v>
      </c>
      <c r="B185" t="s">
        <v>4</v>
      </c>
      <c r="C185" s="1">
        <v>16.940000000000001</v>
      </c>
      <c r="D185" s="1">
        <v>3.1389999999999998</v>
      </c>
      <c r="E185">
        <f t="shared" si="8"/>
        <v>3.1386015129830303</v>
      </c>
      <c r="L185" t="s">
        <v>57</v>
      </c>
      <c r="M185" t="s">
        <v>6</v>
      </c>
      <c r="N185" s="1">
        <v>0.90939999999999999</v>
      </c>
      <c r="O185" s="1">
        <v>0.40379999999999999</v>
      </c>
      <c r="P185">
        <f t="shared" si="7"/>
        <v>0.35393628225381779</v>
      </c>
    </row>
    <row r="186" spans="1:16" x14ac:dyDescent="0.2">
      <c r="A186" t="s">
        <v>57</v>
      </c>
      <c r="B186" t="s">
        <v>4</v>
      </c>
      <c r="C186" s="1">
        <v>17.850000000000001</v>
      </c>
      <c r="D186" s="1">
        <v>3.3250000000000002</v>
      </c>
      <c r="E186">
        <f t="shared" si="8"/>
        <v>3.3246575342465761</v>
      </c>
      <c r="L186" t="s">
        <v>57</v>
      </c>
      <c r="M186" t="s">
        <v>6</v>
      </c>
      <c r="N186" s="1">
        <v>1.101</v>
      </c>
      <c r="O186" s="1">
        <v>0.45639999999999997</v>
      </c>
      <c r="P186">
        <f t="shared" si="7"/>
        <v>0.39597595225557314</v>
      </c>
    </row>
    <row r="187" spans="1:16" x14ac:dyDescent="0.2">
      <c r="A187" t="s">
        <v>57</v>
      </c>
      <c r="B187" t="s">
        <v>4</v>
      </c>
      <c r="C187" s="1">
        <v>17.38</v>
      </c>
      <c r="D187" s="1">
        <v>3.2290000000000001</v>
      </c>
      <c r="E187">
        <f t="shared" si="8"/>
        <v>3.2285626661214475</v>
      </c>
      <c r="L187" t="s">
        <v>57</v>
      </c>
      <c r="M187" t="s">
        <v>6</v>
      </c>
      <c r="N187" s="1">
        <v>0.9778</v>
      </c>
      <c r="O187" s="1">
        <v>0.42259999999999998</v>
      </c>
      <c r="P187">
        <f t="shared" si="7"/>
        <v>0.36894418114797262</v>
      </c>
    </row>
    <row r="188" spans="1:16" x14ac:dyDescent="0.2">
      <c r="A188" t="s">
        <v>58</v>
      </c>
      <c r="B188" t="s">
        <v>4</v>
      </c>
      <c r="C188" s="1">
        <v>16.96</v>
      </c>
      <c r="D188" s="1">
        <v>3.1429999999999998</v>
      </c>
      <c r="E188">
        <f t="shared" si="8"/>
        <v>3.1426906563075039</v>
      </c>
      <c r="L188" t="s">
        <v>58</v>
      </c>
      <c r="M188" t="s">
        <v>6</v>
      </c>
      <c r="N188" s="1">
        <v>0.80459999999999998</v>
      </c>
      <c r="O188" s="1">
        <v>0.37509999999999999</v>
      </c>
      <c r="P188">
        <f t="shared" si="7"/>
        <v>0.33094172371423558</v>
      </c>
    </row>
    <row r="189" spans="1:16" x14ac:dyDescent="0.2">
      <c r="A189" t="s">
        <v>58</v>
      </c>
      <c r="B189" t="s">
        <v>4</v>
      </c>
      <c r="C189" s="1">
        <v>17.53</v>
      </c>
      <c r="D189" s="1">
        <v>3.2589999999999999</v>
      </c>
      <c r="E189">
        <f t="shared" si="8"/>
        <v>3.2592312410549993</v>
      </c>
      <c r="L189" t="s">
        <v>58</v>
      </c>
      <c r="M189" t="s">
        <v>6</v>
      </c>
      <c r="N189" s="1">
        <v>0.94130000000000003</v>
      </c>
      <c r="O189" s="1">
        <v>0.41260000000000002</v>
      </c>
      <c r="P189">
        <f t="shared" si="7"/>
        <v>0.36093558012989296</v>
      </c>
    </row>
    <row r="190" spans="1:16" x14ac:dyDescent="0.2">
      <c r="A190" t="s">
        <v>58</v>
      </c>
      <c r="B190" t="s">
        <v>4</v>
      </c>
      <c r="C190" s="1">
        <v>17.32</v>
      </c>
      <c r="D190" s="1">
        <v>3.2160000000000002</v>
      </c>
      <c r="E190">
        <f t="shared" si="8"/>
        <v>3.216295236148027</v>
      </c>
      <c r="L190" t="s">
        <v>58</v>
      </c>
      <c r="M190" t="s">
        <v>6</v>
      </c>
      <c r="N190" s="1">
        <v>0.96450000000000002</v>
      </c>
      <c r="O190" s="1">
        <v>0.41889999999999999</v>
      </c>
      <c r="P190">
        <f t="shared" si="7"/>
        <v>0.36602597858522035</v>
      </c>
    </row>
    <row r="191" spans="1:16" x14ac:dyDescent="0.2">
      <c r="A191" t="s">
        <v>59</v>
      </c>
      <c r="B191" t="s">
        <v>4</v>
      </c>
      <c r="C191" s="1">
        <v>6.3380000000000001</v>
      </c>
      <c r="D191" s="1">
        <v>0.97099999999999997</v>
      </c>
      <c r="E191">
        <f t="shared" si="8"/>
        <v>0.97094663667961556</v>
      </c>
      <c r="L191" t="s">
        <v>59</v>
      </c>
      <c r="M191" t="s">
        <v>6</v>
      </c>
      <c r="N191" s="1">
        <v>0</v>
      </c>
      <c r="O191" s="1">
        <v>0.15440000000000001</v>
      </c>
      <c r="P191">
        <f t="shared" si="7"/>
        <v>0.15440143935404599</v>
      </c>
    </row>
    <row r="192" spans="1:16" x14ac:dyDescent="0.2">
      <c r="A192" t="s">
        <v>59</v>
      </c>
      <c r="B192" t="s">
        <v>4</v>
      </c>
      <c r="C192" s="1">
        <v>6.2839999999999998</v>
      </c>
      <c r="D192" s="1">
        <v>0.95989999999999998</v>
      </c>
      <c r="E192">
        <f t="shared" si="8"/>
        <v>0.95990594970353704</v>
      </c>
      <c r="L192" t="s">
        <v>59</v>
      </c>
      <c r="M192" t="s">
        <v>6</v>
      </c>
      <c r="N192" s="1">
        <v>0</v>
      </c>
      <c r="O192" s="1">
        <v>0.15440000000000001</v>
      </c>
      <c r="P192">
        <f t="shared" si="7"/>
        <v>0.15440143935404599</v>
      </c>
    </row>
    <row r="193" spans="1:16" x14ac:dyDescent="0.2">
      <c r="A193" t="s">
        <v>59</v>
      </c>
      <c r="B193" t="s">
        <v>4</v>
      </c>
      <c r="C193" s="1">
        <v>6.4569999999999999</v>
      </c>
      <c r="D193" s="1">
        <v>0.99529999999999996</v>
      </c>
      <c r="E193">
        <f t="shared" si="8"/>
        <v>0.99527703946023305</v>
      </c>
      <c r="L193" t="s">
        <v>59</v>
      </c>
      <c r="M193" t="s">
        <v>6</v>
      </c>
      <c r="N193" s="1">
        <v>0</v>
      </c>
      <c r="O193" s="1">
        <v>0.15440000000000001</v>
      </c>
      <c r="P193">
        <f t="shared" si="7"/>
        <v>0.15440143935404599</v>
      </c>
    </row>
    <row r="194" spans="1:16" x14ac:dyDescent="0.2">
      <c r="A194" t="s">
        <v>60</v>
      </c>
      <c r="B194" t="s">
        <v>4</v>
      </c>
      <c r="C194" s="1">
        <v>5.7590000000000003</v>
      </c>
      <c r="D194" s="1">
        <v>0.85260000000000002</v>
      </c>
      <c r="E194">
        <f t="shared" si="8"/>
        <v>0.8525659374361072</v>
      </c>
      <c r="L194" t="s">
        <v>60</v>
      </c>
      <c r="M194" t="s">
        <v>6</v>
      </c>
      <c r="N194" s="1">
        <v>0</v>
      </c>
      <c r="O194" s="1">
        <v>0.15440000000000001</v>
      </c>
      <c r="P194">
        <f t="shared" si="7"/>
        <v>0.15440143935404599</v>
      </c>
    </row>
    <row r="195" spans="1:16" x14ac:dyDescent="0.2">
      <c r="A195" t="s">
        <v>60</v>
      </c>
      <c r="B195" t="s">
        <v>4</v>
      </c>
      <c r="C195" s="1">
        <v>6.1280000000000001</v>
      </c>
      <c r="D195" s="1">
        <v>0.92800000000000005</v>
      </c>
      <c r="E195">
        <f t="shared" si="8"/>
        <v>0.92801063177264365</v>
      </c>
      <c r="L195" t="s">
        <v>60</v>
      </c>
      <c r="M195" t="s">
        <v>6</v>
      </c>
      <c r="N195" s="1">
        <v>0</v>
      </c>
      <c r="O195" s="1">
        <v>0.15440000000000001</v>
      </c>
      <c r="P195">
        <f t="shared" si="7"/>
        <v>0.15440143935404599</v>
      </c>
    </row>
    <row r="196" spans="1:16" x14ac:dyDescent="0.2">
      <c r="A196" t="s">
        <v>60</v>
      </c>
      <c r="B196" t="s">
        <v>4</v>
      </c>
      <c r="C196" s="1">
        <v>5.8390000000000004</v>
      </c>
      <c r="D196" s="1">
        <v>0.86890000000000001</v>
      </c>
      <c r="E196">
        <f t="shared" si="8"/>
        <v>0.86892251073400129</v>
      </c>
      <c r="L196" t="s">
        <v>60</v>
      </c>
      <c r="M196" t="s">
        <v>6</v>
      </c>
      <c r="N196" s="1">
        <v>0</v>
      </c>
      <c r="O196" s="1">
        <v>0.15440000000000001</v>
      </c>
      <c r="P196">
        <f t="shared" si="7"/>
        <v>0.15440143935404599</v>
      </c>
    </row>
    <row r="197" spans="1:16" x14ac:dyDescent="0.2">
      <c r="A197" t="s">
        <v>61</v>
      </c>
      <c r="B197" t="s">
        <v>4</v>
      </c>
      <c r="C197" s="1">
        <v>6.1660000000000004</v>
      </c>
      <c r="D197" s="1">
        <v>0.93579999999999997</v>
      </c>
      <c r="E197">
        <f t="shared" si="8"/>
        <v>0.93578000408914341</v>
      </c>
      <c r="L197" t="s">
        <v>61</v>
      </c>
      <c r="M197" t="s">
        <v>6</v>
      </c>
      <c r="N197" s="1">
        <v>0</v>
      </c>
      <c r="O197" s="1">
        <v>0.15440000000000001</v>
      </c>
      <c r="P197">
        <f t="shared" si="7"/>
        <v>0.15440143935404599</v>
      </c>
    </row>
    <row r="198" spans="1:16" x14ac:dyDescent="0.2">
      <c r="A198" t="s">
        <v>61</v>
      </c>
      <c r="B198" t="s">
        <v>4</v>
      </c>
      <c r="C198" s="1">
        <v>6.0640000000000001</v>
      </c>
      <c r="D198" s="1">
        <v>0.91490000000000005</v>
      </c>
      <c r="E198">
        <f t="shared" si="8"/>
        <v>0.91492537313432831</v>
      </c>
      <c r="L198" t="s">
        <v>61</v>
      </c>
      <c r="M198" t="s">
        <v>6</v>
      </c>
      <c r="N198" s="1">
        <v>0</v>
      </c>
      <c r="O198" s="1">
        <v>0.15440000000000001</v>
      </c>
      <c r="P198">
        <f t="shared" si="7"/>
        <v>0.15440143935404599</v>
      </c>
    </row>
    <row r="199" spans="1:16" x14ac:dyDescent="0.2">
      <c r="A199" t="s">
        <v>61</v>
      </c>
      <c r="B199" t="s">
        <v>4</v>
      </c>
      <c r="C199" s="1">
        <v>5.9560000000000004</v>
      </c>
      <c r="D199" s="1">
        <v>0.89290000000000003</v>
      </c>
      <c r="E199">
        <f t="shared" si="8"/>
        <v>0.89284399918217139</v>
      </c>
      <c r="L199" t="s">
        <v>61</v>
      </c>
      <c r="M199" t="s">
        <v>6</v>
      </c>
      <c r="N199" s="1">
        <v>0</v>
      </c>
      <c r="O199" s="1">
        <v>0.15440000000000001</v>
      </c>
      <c r="P199">
        <f t="shared" si="7"/>
        <v>0.15440143935404599</v>
      </c>
    </row>
    <row r="200" spans="1:16" x14ac:dyDescent="0.2">
      <c r="A200" t="s">
        <v>62</v>
      </c>
      <c r="B200" t="s">
        <v>4</v>
      </c>
      <c r="C200" s="1">
        <v>53.14</v>
      </c>
      <c r="D200" s="1">
        <v>10.54</v>
      </c>
      <c r="E200">
        <f t="shared" si="8"/>
        <v>10.539950930280106</v>
      </c>
      <c r="L200" t="s">
        <v>62</v>
      </c>
      <c r="M200" t="s">
        <v>6</v>
      </c>
      <c r="N200" s="1">
        <v>2.0910000000000002</v>
      </c>
      <c r="O200" s="1">
        <v>0.72789999999999999</v>
      </c>
      <c r="P200">
        <f t="shared" si="7"/>
        <v>0.61319554151307709</v>
      </c>
    </row>
    <row r="201" spans="1:16" x14ac:dyDescent="0.2">
      <c r="A201" t="s">
        <v>62</v>
      </c>
      <c r="B201" t="s">
        <v>4</v>
      </c>
      <c r="C201" s="1">
        <v>51.82</v>
      </c>
      <c r="D201" s="1">
        <v>10.27</v>
      </c>
      <c r="E201">
        <f t="shared" si="8"/>
        <v>10.270067470864854</v>
      </c>
      <c r="L201" t="s">
        <v>62</v>
      </c>
      <c r="M201" t="s">
        <v>6</v>
      </c>
      <c r="N201" s="1">
        <v>1.9390000000000001</v>
      </c>
      <c r="O201" s="1">
        <v>0.68620000000000003</v>
      </c>
      <c r="P201">
        <f t="shared" si="7"/>
        <v>0.57984465508162197</v>
      </c>
    </row>
    <row r="202" spans="1:16" x14ac:dyDescent="0.2">
      <c r="A202" t="s">
        <v>62</v>
      </c>
      <c r="B202" t="s">
        <v>4</v>
      </c>
      <c r="C202" s="1">
        <v>53.17</v>
      </c>
      <c r="D202" s="1">
        <v>10.55</v>
      </c>
      <c r="E202">
        <f t="shared" si="8"/>
        <v>10.546084645266816</v>
      </c>
      <c r="L202" t="s">
        <v>62</v>
      </c>
      <c r="M202" t="s">
        <v>6</v>
      </c>
      <c r="N202" s="1">
        <v>1.9</v>
      </c>
      <c r="O202" s="1">
        <v>0.67549999999999999</v>
      </c>
      <c r="P202">
        <f t="shared" si="7"/>
        <v>0.57128751974723535</v>
      </c>
    </row>
    <row r="203" spans="1:16" x14ac:dyDescent="0.2">
      <c r="A203" t="s">
        <v>63</v>
      </c>
      <c r="B203" t="s">
        <v>4</v>
      </c>
      <c r="C203" s="1">
        <v>55.59</v>
      </c>
      <c r="D203" s="1">
        <v>11.04</v>
      </c>
      <c r="E203">
        <f t="shared" si="8"/>
        <v>11.040870987528113</v>
      </c>
      <c r="L203" t="s">
        <v>63</v>
      </c>
      <c r="M203" t="s">
        <v>6</v>
      </c>
      <c r="N203" s="1">
        <v>2.0569999999999999</v>
      </c>
      <c r="O203" s="1">
        <v>0.71860000000000002</v>
      </c>
      <c r="P203">
        <f t="shared" si="7"/>
        <v>0.60573547481130419</v>
      </c>
    </row>
    <row r="204" spans="1:16" x14ac:dyDescent="0.2">
      <c r="A204" t="s">
        <v>63</v>
      </c>
      <c r="B204" t="s">
        <v>4</v>
      </c>
      <c r="C204" s="1">
        <v>57.04</v>
      </c>
      <c r="D204" s="1">
        <v>11.34</v>
      </c>
      <c r="E204">
        <f t="shared" si="8"/>
        <v>11.337333878552442</v>
      </c>
      <c r="L204" t="s">
        <v>63</v>
      </c>
      <c r="M204" t="s">
        <v>6</v>
      </c>
      <c r="N204" s="1">
        <v>2.0419999999999998</v>
      </c>
      <c r="O204" s="1">
        <v>0.71440000000000003</v>
      </c>
      <c r="P204">
        <f t="shared" si="7"/>
        <v>0.60244426891346325</v>
      </c>
    </row>
    <row r="205" spans="1:16" x14ac:dyDescent="0.2">
      <c r="A205" t="s">
        <v>63</v>
      </c>
      <c r="B205" t="s">
        <v>4</v>
      </c>
      <c r="C205" s="1">
        <v>57.53</v>
      </c>
      <c r="D205" s="1">
        <v>11.44</v>
      </c>
      <c r="E205">
        <f t="shared" si="8"/>
        <v>11.437517890002045</v>
      </c>
      <c r="L205" t="s">
        <v>63</v>
      </c>
      <c r="M205" t="s">
        <v>6</v>
      </c>
      <c r="N205" s="1">
        <v>1.996</v>
      </c>
      <c r="O205" s="1">
        <v>0.70179999999999998</v>
      </c>
      <c r="P205">
        <f t="shared" si="7"/>
        <v>0.59235123749341756</v>
      </c>
    </row>
    <row r="206" spans="1:16" x14ac:dyDescent="0.2">
      <c r="A206" t="s">
        <v>64</v>
      </c>
      <c r="B206" t="s">
        <v>4</v>
      </c>
      <c r="C206" s="1">
        <v>56.64</v>
      </c>
      <c r="D206" s="1">
        <v>11.26</v>
      </c>
      <c r="E206">
        <f t="shared" si="8"/>
        <v>11.255551012062973</v>
      </c>
      <c r="L206" t="s">
        <v>64</v>
      </c>
      <c r="M206" t="s">
        <v>6</v>
      </c>
      <c r="N206" s="1">
        <v>1.7470000000000001</v>
      </c>
      <c r="O206" s="1">
        <v>0.63349999999999995</v>
      </c>
      <c r="P206">
        <f t="shared" si="7"/>
        <v>0.53771721958925756</v>
      </c>
    </row>
    <row r="207" spans="1:16" x14ac:dyDescent="0.2">
      <c r="A207" t="s">
        <v>64</v>
      </c>
      <c r="B207" t="s">
        <v>4</v>
      </c>
      <c r="C207" s="1">
        <v>55.93</v>
      </c>
      <c r="D207" s="1">
        <v>11.11</v>
      </c>
      <c r="E207">
        <f t="shared" si="8"/>
        <v>11.110386424044162</v>
      </c>
      <c r="L207" t="s">
        <v>64</v>
      </c>
      <c r="M207" t="s">
        <v>6</v>
      </c>
      <c r="N207" s="1">
        <v>1.962</v>
      </c>
      <c r="O207" s="1">
        <v>0.6925</v>
      </c>
      <c r="P207">
        <f t="shared" si="7"/>
        <v>0.58489117079164477</v>
      </c>
    </row>
    <row r="208" spans="1:16" x14ac:dyDescent="0.2">
      <c r="A208" t="s">
        <v>64</v>
      </c>
      <c r="B208" t="s">
        <v>4</v>
      </c>
      <c r="C208" s="1">
        <v>54.82</v>
      </c>
      <c r="D208" s="1">
        <v>10.88</v>
      </c>
      <c r="E208">
        <f t="shared" si="8"/>
        <v>10.883438969535883</v>
      </c>
      <c r="L208" t="s">
        <v>64</v>
      </c>
      <c r="M208" t="s">
        <v>6</v>
      </c>
      <c r="N208" s="1">
        <v>1.732</v>
      </c>
      <c r="O208" s="1">
        <v>0.62939999999999996</v>
      </c>
      <c r="P208">
        <f t="shared" si="7"/>
        <v>0.53442601369141651</v>
      </c>
    </row>
    <row r="209" spans="1:16" x14ac:dyDescent="0.2">
      <c r="A209" t="s">
        <v>65</v>
      </c>
      <c r="B209" t="s">
        <v>4</v>
      </c>
      <c r="C209" s="1">
        <v>30.65</v>
      </c>
      <c r="D209" s="1">
        <v>5.9420000000000002</v>
      </c>
      <c r="E209">
        <f t="shared" si="8"/>
        <v>5.9417092619096303</v>
      </c>
      <c r="L209" t="s">
        <v>65</v>
      </c>
      <c r="M209" t="s">
        <v>6</v>
      </c>
      <c r="N209" s="1">
        <v>1.468</v>
      </c>
      <c r="O209" s="1">
        <v>0.55700000000000005</v>
      </c>
      <c r="P209">
        <f t="shared" si="7"/>
        <v>0.47650078988941547</v>
      </c>
    </row>
    <row r="210" spans="1:16" x14ac:dyDescent="0.2">
      <c r="A210" t="s">
        <v>65</v>
      </c>
      <c r="B210" t="s">
        <v>4</v>
      </c>
      <c r="C210" s="1">
        <v>30.04</v>
      </c>
      <c r="D210" s="1">
        <v>5.8170000000000002</v>
      </c>
      <c r="E210">
        <f t="shared" si="8"/>
        <v>5.8169903905131877</v>
      </c>
      <c r="L210" t="s">
        <v>65</v>
      </c>
      <c r="M210" t="s">
        <v>6</v>
      </c>
      <c r="N210" s="1">
        <v>1.8</v>
      </c>
      <c r="O210" s="1">
        <v>0.64810000000000001</v>
      </c>
      <c r="P210">
        <f t="shared" si="7"/>
        <v>0.54934614709496232</v>
      </c>
    </row>
    <row r="211" spans="1:16" x14ac:dyDescent="0.2">
      <c r="A211" t="s">
        <v>65</v>
      </c>
      <c r="B211" t="s">
        <v>4</v>
      </c>
      <c r="C211" s="1">
        <v>29.85</v>
      </c>
      <c r="D211" s="1">
        <v>5.7779999999999996</v>
      </c>
      <c r="E211">
        <f t="shared" si="8"/>
        <v>5.7781435289306895</v>
      </c>
      <c r="L211" t="s">
        <v>65</v>
      </c>
      <c r="M211" t="s">
        <v>6</v>
      </c>
      <c r="N211" s="1">
        <v>1.5129999999999999</v>
      </c>
      <c r="O211" s="1">
        <v>0.56940000000000002</v>
      </c>
      <c r="P211">
        <f t="shared" si="7"/>
        <v>0.48637440758293837</v>
      </c>
    </row>
    <row r="212" spans="1:16" x14ac:dyDescent="0.2">
      <c r="A212" t="s">
        <v>66</v>
      </c>
      <c r="B212" t="s">
        <v>4</v>
      </c>
      <c r="C212" s="1">
        <v>27.84</v>
      </c>
      <c r="D212" s="1">
        <v>5.367</v>
      </c>
      <c r="E212">
        <f t="shared" si="8"/>
        <v>5.3671846248211006</v>
      </c>
      <c r="L212" t="s">
        <v>66</v>
      </c>
      <c r="M212" t="s">
        <v>6</v>
      </c>
      <c r="N212" s="1">
        <v>1.087</v>
      </c>
      <c r="O212" s="1">
        <v>0.45250000000000001</v>
      </c>
      <c r="P212">
        <f t="shared" si="7"/>
        <v>0.39290416008425488</v>
      </c>
    </row>
    <row r="213" spans="1:16" x14ac:dyDescent="0.2">
      <c r="A213" t="s">
        <v>66</v>
      </c>
      <c r="B213" t="s">
        <v>4</v>
      </c>
      <c r="C213" s="1">
        <v>29.34</v>
      </c>
      <c r="D213" s="1">
        <v>5.6740000000000004</v>
      </c>
      <c r="E213">
        <f t="shared" si="8"/>
        <v>5.6738703741566141</v>
      </c>
      <c r="L213" t="s">
        <v>66</v>
      </c>
      <c r="M213" t="s">
        <v>6</v>
      </c>
      <c r="N213" s="1">
        <v>0.88629999999999998</v>
      </c>
      <c r="O213" s="1">
        <v>0.39750000000000002</v>
      </c>
      <c r="P213">
        <f t="shared" ref="P213:P235" si="9">(N213+0.7037)/4.5576</f>
        <v>0.34886782517114268</v>
      </c>
    </row>
    <row r="214" spans="1:16" x14ac:dyDescent="0.2">
      <c r="A214" t="s">
        <v>66</v>
      </c>
      <c r="B214" t="s">
        <v>4</v>
      </c>
      <c r="C214" s="1">
        <v>27.84</v>
      </c>
      <c r="D214" s="1">
        <v>5.367</v>
      </c>
      <c r="E214">
        <f t="shared" si="8"/>
        <v>5.3671846248211006</v>
      </c>
      <c r="L214" t="s">
        <v>66</v>
      </c>
      <c r="M214" t="s">
        <v>6</v>
      </c>
      <c r="N214" s="1">
        <v>1.0369999999999999</v>
      </c>
      <c r="O214" s="1">
        <v>0.43880000000000002</v>
      </c>
      <c r="P214">
        <f t="shared" si="9"/>
        <v>0.38193347375811831</v>
      </c>
    </row>
    <row r="215" spans="1:16" x14ac:dyDescent="0.2">
      <c r="A215" t="s">
        <v>67</v>
      </c>
      <c r="B215" t="s">
        <v>4</v>
      </c>
      <c r="C215" s="1">
        <v>29.54</v>
      </c>
      <c r="D215" s="1">
        <v>5.7149999999999999</v>
      </c>
      <c r="E215">
        <f t="shared" si="8"/>
        <v>5.7147618074013495</v>
      </c>
      <c r="L215" t="s">
        <v>67</v>
      </c>
      <c r="M215" t="s">
        <v>6</v>
      </c>
      <c r="N215" s="1">
        <v>1.3240000000000001</v>
      </c>
      <c r="O215" s="1">
        <v>0.51749999999999996</v>
      </c>
      <c r="P215">
        <f t="shared" si="9"/>
        <v>0.44490521327014226</v>
      </c>
    </row>
    <row r="216" spans="1:16" x14ac:dyDescent="0.2">
      <c r="A216" t="s">
        <v>67</v>
      </c>
      <c r="B216" t="s">
        <v>4</v>
      </c>
      <c r="C216" s="1">
        <v>29.6</v>
      </c>
      <c r="D216" s="1">
        <v>5.7270000000000003</v>
      </c>
      <c r="E216">
        <f t="shared" ref="E216:E235" si="10">(C216-1.5891)/4.891</f>
        <v>5.7270292373747704</v>
      </c>
      <c r="L216" t="s">
        <v>67</v>
      </c>
      <c r="M216" t="s">
        <v>6</v>
      </c>
      <c r="N216" s="1">
        <v>1.3720000000000001</v>
      </c>
      <c r="O216" s="1">
        <v>0.53069999999999995</v>
      </c>
      <c r="P216">
        <f t="shared" si="9"/>
        <v>0.45543707214323337</v>
      </c>
    </row>
    <row r="217" spans="1:16" x14ac:dyDescent="0.2">
      <c r="A217" t="s">
        <v>67</v>
      </c>
      <c r="B217" t="s">
        <v>4</v>
      </c>
      <c r="C217" s="1">
        <v>29.63</v>
      </c>
      <c r="D217" s="1">
        <v>5.7329999999999997</v>
      </c>
      <c r="E217">
        <f t="shared" si="10"/>
        <v>5.7331629523614804</v>
      </c>
      <c r="L217" t="s">
        <v>67</v>
      </c>
      <c r="M217" t="s">
        <v>6</v>
      </c>
      <c r="N217" s="1">
        <v>1.3640000000000001</v>
      </c>
      <c r="O217" s="1">
        <v>0.52849999999999997</v>
      </c>
      <c r="P217">
        <f t="shared" si="9"/>
        <v>0.45368176233105151</v>
      </c>
    </row>
    <row r="218" spans="1:16" x14ac:dyDescent="0.2">
      <c r="A218" t="s">
        <v>68</v>
      </c>
      <c r="B218" t="s">
        <v>4</v>
      </c>
      <c r="C218" s="1">
        <v>32.14</v>
      </c>
      <c r="D218" s="1">
        <v>6.2460000000000004</v>
      </c>
      <c r="E218">
        <f t="shared" si="10"/>
        <v>6.2463504395829075</v>
      </c>
      <c r="L218" t="s">
        <v>68</v>
      </c>
      <c r="M218" t="s">
        <v>6</v>
      </c>
      <c r="N218" s="1">
        <v>1.012</v>
      </c>
      <c r="O218" s="1">
        <v>0.43190000000000001</v>
      </c>
      <c r="P218">
        <f t="shared" si="9"/>
        <v>0.37644813059505006</v>
      </c>
    </row>
    <row r="219" spans="1:16" x14ac:dyDescent="0.2">
      <c r="A219" t="s">
        <v>68</v>
      </c>
      <c r="B219" t="s">
        <v>4</v>
      </c>
      <c r="C219" s="1">
        <v>32.21</v>
      </c>
      <c r="D219" s="1">
        <v>6.2610000000000001</v>
      </c>
      <c r="E219">
        <f t="shared" si="10"/>
        <v>6.2606624412185656</v>
      </c>
      <c r="L219" t="s">
        <v>68</v>
      </c>
      <c r="M219" t="s">
        <v>6</v>
      </c>
      <c r="N219" s="1">
        <v>1.1319999999999999</v>
      </c>
      <c r="O219" s="1">
        <v>0.46489999999999998</v>
      </c>
      <c r="P219">
        <f t="shared" si="9"/>
        <v>0.40277777777777779</v>
      </c>
    </row>
    <row r="220" spans="1:16" x14ac:dyDescent="0.2">
      <c r="A220" t="s">
        <v>68</v>
      </c>
      <c r="B220" t="s">
        <v>4</v>
      </c>
      <c r="C220" s="1">
        <v>33.25</v>
      </c>
      <c r="D220" s="1">
        <v>6.4729999999999999</v>
      </c>
      <c r="E220">
        <f t="shared" si="10"/>
        <v>6.4732978940911883</v>
      </c>
      <c r="L220" t="s">
        <v>68</v>
      </c>
      <c r="M220" t="s">
        <v>6</v>
      </c>
      <c r="N220" s="1">
        <v>1.0369999999999999</v>
      </c>
      <c r="O220" s="1">
        <v>0.43880000000000002</v>
      </c>
      <c r="P220">
        <f t="shared" si="9"/>
        <v>0.38193347375811831</v>
      </c>
    </row>
    <row r="221" spans="1:16" x14ac:dyDescent="0.2">
      <c r="A221" t="s">
        <v>69</v>
      </c>
      <c r="B221" t="s">
        <v>4</v>
      </c>
      <c r="C221" s="1">
        <v>29.8</v>
      </c>
      <c r="D221" s="1">
        <v>5.7679999999999998</v>
      </c>
      <c r="E221">
        <f t="shared" si="10"/>
        <v>5.7679206706195059</v>
      </c>
      <c r="L221" t="s">
        <v>69</v>
      </c>
      <c r="M221" t="s">
        <v>6</v>
      </c>
      <c r="N221" s="1">
        <v>0.90410000000000001</v>
      </c>
      <c r="O221" s="1">
        <v>0.40239999999999998</v>
      </c>
      <c r="P221">
        <f t="shared" si="9"/>
        <v>0.35277338950324738</v>
      </c>
    </row>
    <row r="222" spans="1:16" x14ac:dyDescent="0.2">
      <c r="A222" t="s">
        <v>69</v>
      </c>
      <c r="B222" t="s">
        <v>4</v>
      </c>
      <c r="C222" s="1">
        <v>29.47</v>
      </c>
      <c r="D222" s="1">
        <v>5.7009999999999996</v>
      </c>
      <c r="E222">
        <f t="shared" si="10"/>
        <v>5.7004498057656923</v>
      </c>
      <c r="L222" t="s">
        <v>69</v>
      </c>
      <c r="M222" t="s">
        <v>6</v>
      </c>
      <c r="N222" s="1">
        <v>1.149</v>
      </c>
      <c r="O222" s="1">
        <v>0.46949999999999997</v>
      </c>
      <c r="P222">
        <f t="shared" si="9"/>
        <v>0.40650781112866424</v>
      </c>
    </row>
    <row r="223" spans="1:16" x14ac:dyDescent="0.2">
      <c r="A223" t="s">
        <v>69</v>
      </c>
      <c r="B223" t="s">
        <v>4</v>
      </c>
      <c r="C223" s="1">
        <v>29.39</v>
      </c>
      <c r="D223" s="1">
        <v>5.6840000000000002</v>
      </c>
      <c r="E223">
        <f t="shared" si="10"/>
        <v>5.6840932324677986</v>
      </c>
      <c r="L223" t="s">
        <v>69</v>
      </c>
      <c r="M223" t="s">
        <v>6</v>
      </c>
      <c r="N223" s="1">
        <v>1.2929999999999999</v>
      </c>
      <c r="O223" s="1">
        <v>0.50900000000000001</v>
      </c>
      <c r="P223">
        <f t="shared" si="9"/>
        <v>0.4381033877479375</v>
      </c>
    </row>
    <row r="224" spans="1:16" x14ac:dyDescent="0.2">
      <c r="A224" t="s">
        <v>70</v>
      </c>
      <c r="B224" t="s">
        <v>4</v>
      </c>
      <c r="C224" s="1">
        <v>31.95</v>
      </c>
      <c r="D224" s="1">
        <v>6.2080000000000002</v>
      </c>
      <c r="E224">
        <f t="shared" si="10"/>
        <v>6.2075035780004093</v>
      </c>
      <c r="L224" t="s">
        <v>70</v>
      </c>
      <c r="M224" t="s">
        <v>6</v>
      </c>
      <c r="N224" s="1">
        <v>0.92100000000000004</v>
      </c>
      <c r="O224" s="1">
        <v>0.40699999999999997</v>
      </c>
      <c r="P224">
        <f t="shared" si="9"/>
        <v>0.35648148148148151</v>
      </c>
    </row>
    <row r="225" spans="1:16" x14ac:dyDescent="0.2">
      <c r="A225" t="s">
        <v>70</v>
      </c>
      <c r="B225" t="s">
        <v>4</v>
      </c>
      <c r="C225" s="1">
        <v>32.17</v>
      </c>
      <c r="D225" s="1">
        <v>6.2530000000000001</v>
      </c>
      <c r="E225">
        <f t="shared" si="10"/>
        <v>6.2524841545696184</v>
      </c>
      <c r="L225" t="s">
        <v>70</v>
      </c>
      <c r="M225" t="s">
        <v>6</v>
      </c>
      <c r="N225" s="1">
        <v>0.94799999999999995</v>
      </c>
      <c r="O225" s="1">
        <v>0.41439999999999999</v>
      </c>
      <c r="P225">
        <f t="shared" si="9"/>
        <v>0.36240565209759523</v>
      </c>
    </row>
    <row r="226" spans="1:16" x14ac:dyDescent="0.2">
      <c r="A226" t="s">
        <v>70</v>
      </c>
      <c r="B226" t="s">
        <v>4</v>
      </c>
      <c r="C226" s="1">
        <v>32.450000000000003</v>
      </c>
      <c r="D226" s="1">
        <v>6.31</v>
      </c>
      <c r="E226">
        <f t="shared" si="10"/>
        <v>6.3097321611122474</v>
      </c>
      <c r="L226" t="s">
        <v>70</v>
      </c>
      <c r="M226" t="s">
        <v>6</v>
      </c>
      <c r="N226" s="1">
        <v>1.0720000000000001</v>
      </c>
      <c r="O226" s="1">
        <v>0.44840000000000002</v>
      </c>
      <c r="P226">
        <f t="shared" si="9"/>
        <v>0.38961295418641395</v>
      </c>
    </row>
    <row r="227" spans="1:16" x14ac:dyDescent="0.2">
      <c r="A227" t="s">
        <v>71</v>
      </c>
      <c r="B227" t="s">
        <v>4</v>
      </c>
      <c r="C227" s="1">
        <v>40.950000000000003</v>
      </c>
      <c r="D227" s="1">
        <v>8.048</v>
      </c>
      <c r="E227">
        <f t="shared" si="10"/>
        <v>8.0476180740134939</v>
      </c>
      <c r="L227" t="s">
        <v>71</v>
      </c>
      <c r="M227" t="s">
        <v>6</v>
      </c>
      <c r="N227" s="1">
        <v>3.1379999999999999</v>
      </c>
      <c r="O227" s="1">
        <v>1.0149999999999999</v>
      </c>
      <c r="P227">
        <f t="shared" si="9"/>
        <v>0.84292171318237674</v>
      </c>
    </row>
    <row r="228" spans="1:16" x14ac:dyDescent="0.2">
      <c r="A228" t="s">
        <v>71</v>
      </c>
      <c r="B228" t="s">
        <v>4</v>
      </c>
      <c r="C228" s="1">
        <v>42.42</v>
      </c>
      <c r="D228" s="1">
        <v>8.3480000000000008</v>
      </c>
      <c r="E228">
        <f t="shared" si="10"/>
        <v>8.3481701083622983</v>
      </c>
      <c r="L228" t="s">
        <v>71</v>
      </c>
      <c r="M228" t="s">
        <v>6</v>
      </c>
      <c r="N228" s="1">
        <v>2.9860000000000002</v>
      </c>
      <c r="O228" s="1">
        <v>0.97340000000000004</v>
      </c>
      <c r="P228">
        <f t="shared" si="9"/>
        <v>0.80957082675092162</v>
      </c>
    </row>
    <row r="229" spans="1:16" x14ac:dyDescent="0.2">
      <c r="A229" t="s">
        <v>71</v>
      </c>
      <c r="B229" t="s">
        <v>4</v>
      </c>
      <c r="C229" s="1">
        <v>42.64</v>
      </c>
      <c r="D229" s="1">
        <v>8.3930000000000007</v>
      </c>
      <c r="E229">
        <f t="shared" si="10"/>
        <v>8.3931506849315074</v>
      </c>
      <c r="L229" t="s">
        <v>71</v>
      </c>
      <c r="M229" t="s">
        <v>6</v>
      </c>
      <c r="N229" s="1">
        <v>3.0619999999999998</v>
      </c>
      <c r="O229" s="1">
        <v>0.99419999999999997</v>
      </c>
      <c r="P229">
        <f t="shared" si="9"/>
        <v>0.82624626996664907</v>
      </c>
    </row>
    <row r="230" spans="1:16" x14ac:dyDescent="0.2">
      <c r="A230" t="s">
        <v>72</v>
      </c>
      <c r="B230" t="s">
        <v>4</v>
      </c>
      <c r="C230" s="1">
        <v>57.91</v>
      </c>
      <c r="D230" s="1">
        <v>11.52</v>
      </c>
      <c r="E230">
        <f t="shared" si="10"/>
        <v>11.51521161316704</v>
      </c>
      <c r="L230" t="s">
        <v>72</v>
      </c>
      <c r="M230" t="s">
        <v>6</v>
      </c>
      <c r="N230" s="1">
        <v>6.7539999999999996</v>
      </c>
      <c r="O230" s="1">
        <v>2.0070000000000001</v>
      </c>
      <c r="P230">
        <f t="shared" si="9"/>
        <v>1.6363217482885728</v>
      </c>
    </row>
    <row r="231" spans="1:16" x14ac:dyDescent="0.2">
      <c r="A231" t="s">
        <v>72</v>
      </c>
      <c r="B231" t="s">
        <v>4</v>
      </c>
      <c r="C231" s="1">
        <v>56.83</v>
      </c>
      <c r="D231" s="1">
        <v>11.29</v>
      </c>
      <c r="E231">
        <f t="shared" si="10"/>
        <v>11.294397873645471</v>
      </c>
      <c r="L231" t="s">
        <v>72</v>
      </c>
      <c r="M231" t="s">
        <v>6</v>
      </c>
      <c r="N231" s="1">
        <v>6.6719999999999997</v>
      </c>
      <c r="O231" s="1">
        <v>1.984</v>
      </c>
      <c r="P231">
        <f t="shared" si="9"/>
        <v>1.6183298227137091</v>
      </c>
    </row>
    <row r="232" spans="1:16" x14ac:dyDescent="0.2">
      <c r="A232" t="s">
        <v>72</v>
      </c>
      <c r="B232" t="s">
        <v>4</v>
      </c>
      <c r="C232" s="1">
        <v>57.86</v>
      </c>
      <c r="D232" s="1">
        <v>11.51</v>
      </c>
      <c r="E232">
        <f t="shared" si="10"/>
        <v>11.504988754855857</v>
      </c>
      <c r="L232" t="s">
        <v>72</v>
      </c>
      <c r="M232" t="s">
        <v>6</v>
      </c>
      <c r="N232" s="1">
        <v>6.6509999999999998</v>
      </c>
      <c r="O232" s="1">
        <v>1.9790000000000001</v>
      </c>
      <c r="P232">
        <f t="shared" si="9"/>
        <v>1.6137221344567314</v>
      </c>
    </row>
    <row r="233" spans="1:16" x14ac:dyDescent="0.2">
      <c r="A233" t="s">
        <v>73</v>
      </c>
      <c r="B233" t="s">
        <v>4</v>
      </c>
      <c r="C233" s="1">
        <v>45.88</v>
      </c>
      <c r="D233" s="1">
        <v>9.0559999999999992</v>
      </c>
      <c r="E233">
        <f t="shared" si="10"/>
        <v>9.055591903496218</v>
      </c>
      <c r="L233" t="s">
        <v>73</v>
      </c>
      <c r="M233" t="s">
        <v>6</v>
      </c>
      <c r="N233" s="1">
        <v>3.3809999999999998</v>
      </c>
      <c r="O233" s="1">
        <v>1.0820000000000001</v>
      </c>
      <c r="P233">
        <f t="shared" si="9"/>
        <v>0.89623924872740035</v>
      </c>
    </row>
    <row r="234" spans="1:16" x14ac:dyDescent="0.2">
      <c r="A234" t="s">
        <v>73</v>
      </c>
      <c r="B234" t="s">
        <v>4</v>
      </c>
      <c r="C234" s="1">
        <v>45.81</v>
      </c>
      <c r="D234" s="1">
        <v>9.0410000000000004</v>
      </c>
      <c r="E234">
        <f t="shared" si="10"/>
        <v>9.0412799018605607</v>
      </c>
      <c r="L234" t="s">
        <v>73</v>
      </c>
      <c r="M234" t="s">
        <v>6</v>
      </c>
      <c r="N234" s="1">
        <v>3.355</v>
      </c>
      <c r="O234" s="1">
        <v>1.075</v>
      </c>
      <c r="P234">
        <f t="shared" si="9"/>
        <v>0.89053449183780942</v>
      </c>
    </row>
    <row r="235" spans="1:16" x14ac:dyDescent="0.2">
      <c r="A235" t="s">
        <v>73</v>
      </c>
      <c r="B235" t="s">
        <v>4</v>
      </c>
      <c r="C235" s="1">
        <v>47.09</v>
      </c>
      <c r="D235" s="1">
        <v>9.3030000000000008</v>
      </c>
      <c r="E235">
        <f t="shared" si="10"/>
        <v>9.3029850746268661</v>
      </c>
      <c r="L235" t="s">
        <v>73</v>
      </c>
      <c r="M235" t="s">
        <v>6</v>
      </c>
      <c r="N235" s="1">
        <v>3.6190000000000002</v>
      </c>
      <c r="O235" s="1">
        <v>1.147</v>
      </c>
      <c r="P235">
        <f t="shared" si="9"/>
        <v>0.94845971563981046</v>
      </c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</sheetData>
  <sortState xmlns:xlrd2="http://schemas.microsoft.com/office/spreadsheetml/2017/richdata2" ref="A2:D469">
    <sortCondition ref="B2:B4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2019-08-23T23:01:12Z</dcterms:created>
  <dcterms:modified xsi:type="dcterms:W3CDTF">2019-08-23T23:04:55Z</dcterms:modified>
</cp:coreProperties>
</file>