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425"/>
  <workbookPr defaultThemeVersion="124226"/>
  <mc:AlternateContent xmlns:mc="http://schemas.openxmlformats.org/markup-compatibility/2006">
    <mc:Choice Requires="x15">
      <x15ac:absPath xmlns:x15ac="http://schemas.microsoft.com/office/spreadsheetml/2010/11/ac" url="E:\Agams\Copa America Mens Olympic\Copa America Schedule\"/>
    </mc:Choice>
  </mc:AlternateContent>
  <xr:revisionPtr revIDLastSave="0" documentId="13_ncr:1_{5D906164-C467-4A7D-8312-B3F2752B1561}" xr6:coauthVersionLast="47" xr6:coauthVersionMax="47" xr10:uidLastSave="{00000000-0000-0000-0000-000000000000}"/>
  <workbookProtection workbookAlgorithmName="SHA-512" workbookHashValue="7UTR6hYYirt7EXaq102C9ilOtQW+458QrwfOAd5Z/jQ/psKCXAExK0y5j8eSASeHfN6viYeX07UeV8tbaA8Ecw==" workbookSaltValue="0Ulxfyr9BNEtZXBe+H1ciw==" workbookSpinCount="100000" lockStructure="1"/>
  <bookViews>
    <workbookView xWindow="-120" yWindow="-120" windowWidth="20730" windowHeight="11760" activeTab="1" xr2:uid="{00000000-000D-0000-FFFF-FFFF00000000}"/>
  </bookViews>
  <sheets>
    <sheet name="Setup" sheetId="1" r:id="rId1"/>
    <sheet name="Matches" sheetId="2" r:id="rId2"/>
    <sheet name="Calculator" sheetId="3" state="hidden" r:id="rId3"/>
    <sheet name="Language" sheetId="4" state="hidden" r:id="rId4"/>
    <sheet name="License" sheetId="5" r:id="rId5"/>
    <sheet name="About" sheetId="6" r:id="rId6"/>
  </sheets>
  <definedNames>
    <definedName name="Countries">Language!$C$1:$J$1</definedName>
    <definedName name="GroupA">Calculator!$BY$7</definedName>
    <definedName name="GroupB">Calculator!$BY$13</definedName>
    <definedName name="GroupC">Calculator!$BY$19</definedName>
    <definedName name="GroupD">Calculator!$BY$25</definedName>
    <definedName name="GroupE">Calculator!$BY$31</definedName>
    <definedName name="GroupF">Calculator!$BY$37</definedName>
    <definedName name="GroupG">Calculator!$BY$43</definedName>
    <definedName name="GroupH">Calculator!$BY$49</definedName>
    <definedName name="LanguageRef">Language!$C$1:$I$1</definedName>
    <definedName name="_xlnm.Print_Area" localSheetId="1">Matches!$B$2:$W$44</definedName>
    <definedName name="_xlnm.Print_Area" localSheetId="0">Setup!$A$4:$F$77</definedName>
    <definedName name="Team">Calculator!$BO$7:$BO$38</definedName>
    <definedName name="TimeZoneData">Setup!$C$4</definedName>
    <definedName name="TimeZoneList">Calculator!$BS$7:$BS$56</definedName>
    <definedName name="Translation">Language!$C$3:$I$74</definedName>
    <definedName name="TransRef">Language!$B$3:$B$74</definedName>
  </definedNames>
  <calcPr calcId="191029"/>
</workbook>
</file>

<file path=xl/calcChain.xml><?xml version="1.0" encoding="utf-8"?>
<calcChain xmlns="http://schemas.openxmlformats.org/spreadsheetml/2006/main">
  <c r="C18" i="3" l="1"/>
  <c r="M19" i="3"/>
  <c r="M18" i="3"/>
  <c r="M17" i="3"/>
  <c r="M16" i="3"/>
  <c r="M15" i="3"/>
  <c r="M14" i="3"/>
  <c r="M13" i="3"/>
  <c r="M12" i="3"/>
  <c r="M11" i="3"/>
  <c r="M10" i="3"/>
  <c r="M9" i="3"/>
  <c r="M8" i="3"/>
  <c r="M7" i="3"/>
  <c r="M6" i="3"/>
  <c r="M5" i="3"/>
  <c r="M4" i="3"/>
  <c r="E37" i="2" l="1"/>
  <c r="E36" i="2"/>
  <c r="E35" i="2"/>
  <c r="E34" i="2"/>
  <c r="E33" i="2"/>
  <c r="E32" i="2"/>
  <c r="E31" i="2"/>
  <c r="E30" i="2"/>
  <c r="K6" i="2" l="1"/>
  <c r="F14" i="2" s="1"/>
  <c r="F6" i="2"/>
  <c r="K21" i="2" s="1"/>
  <c r="F5" i="2"/>
  <c r="F21" i="2" s="1"/>
  <c r="B19" i="4"/>
  <c r="I19" i="4"/>
  <c r="B20" i="4"/>
  <c r="I20" i="4"/>
  <c r="B21" i="4"/>
  <c r="I21" i="4"/>
  <c r="B22" i="4"/>
  <c r="I22" i="4"/>
  <c r="B23" i="4"/>
  <c r="I23" i="4"/>
  <c r="B24" i="4"/>
  <c r="I24" i="4"/>
  <c r="B25" i="4"/>
  <c r="I25" i="4"/>
  <c r="B26" i="4"/>
  <c r="I26" i="4"/>
  <c r="B27" i="4"/>
  <c r="I27" i="4"/>
  <c r="K14" i="2" l="1"/>
  <c r="K22" i="2"/>
  <c r="F13" i="2"/>
  <c r="I70" i="4"/>
  <c r="I71" i="4"/>
  <c r="I72" i="4"/>
  <c r="I73" i="4"/>
  <c r="I74" i="4"/>
  <c r="B70" i="4"/>
  <c r="B71" i="4"/>
  <c r="B72" i="4"/>
  <c r="B73" i="4"/>
  <c r="B74" i="4"/>
  <c r="I69" i="4" l="1"/>
  <c r="B69" i="4"/>
  <c r="I68" i="4"/>
  <c r="B68" i="4"/>
  <c r="I67" i="4"/>
  <c r="B67" i="4"/>
  <c r="I66" i="4"/>
  <c r="B66" i="4"/>
  <c r="I65" i="4"/>
  <c r="B65" i="4"/>
  <c r="I64" i="4"/>
  <c r="B64" i="4"/>
  <c r="I63" i="4"/>
  <c r="B63" i="4"/>
  <c r="I62" i="4"/>
  <c r="B62" i="4"/>
  <c r="I61" i="4"/>
  <c r="B61" i="4"/>
  <c r="I60" i="4"/>
  <c r="B60" i="4"/>
  <c r="I59" i="4"/>
  <c r="B59" i="4"/>
  <c r="I58" i="4"/>
  <c r="B58" i="4"/>
  <c r="I57" i="4"/>
  <c r="B57" i="4"/>
  <c r="I56" i="4"/>
  <c r="B56" i="4"/>
  <c r="I55" i="4"/>
  <c r="B55" i="4"/>
  <c r="I54" i="4"/>
  <c r="B54" i="4"/>
  <c r="I53" i="4"/>
  <c r="B53" i="4"/>
  <c r="I52" i="4"/>
  <c r="B52" i="4"/>
  <c r="I51" i="4"/>
  <c r="B51" i="4"/>
  <c r="I50" i="4"/>
  <c r="B50" i="4"/>
  <c r="I49" i="4"/>
  <c r="B49" i="4"/>
  <c r="I48" i="4"/>
  <c r="B48" i="4"/>
  <c r="I47" i="4"/>
  <c r="B47" i="4"/>
  <c r="I46" i="4"/>
  <c r="B46" i="4"/>
  <c r="I45" i="4"/>
  <c r="B45" i="4"/>
  <c r="I44" i="4"/>
  <c r="B44" i="4"/>
  <c r="I43" i="4"/>
  <c r="B43" i="4"/>
  <c r="I42" i="4"/>
  <c r="B42" i="4"/>
  <c r="I41" i="4"/>
  <c r="B41" i="4"/>
  <c r="I40" i="4"/>
  <c r="B40" i="4"/>
  <c r="I39" i="4"/>
  <c r="B39" i="4"/>
  <c r="I38" i="4"/>
  <c r="B38" i="4"/>
  <c r="I37" i="4"/>
  <c r="B37" i="4"/>
  <c r="I36" i="4"/>
  <c r="I35" i="4"/>
  <c r="B35" i="4"/>
  <c r="I34" i="4"/>
  <c r="B34" i="4"/>
  <c r="I33" i="4"/>
  <c r="B33" i="4"/>
  <c r="I32" i="4"/>
  <c r="B32" i="4"/>
  <c r="I31" i="4"/>
  <c r="B31" i="4"/>
  <c r="I30" i="4"/>
  <c r="B30" i="4"/>
  <c r="I29" i="4"/>
  <c r="B29" i="4"/>
  <c r="I28" i="4"/>
  <c r="B28" i="4"/>
  <c r="I18" i="4"/>
  <c r="B18" i="4"/>
  <c r="I17" i="4"/>
  <c r="B17" i="4"/>
  <c r="I16" i="4"/>
  <c r="B16" i="4"/>
  <c r="I15" i="4"/>
  <c r="B15" i="4"/>
  <c r="I14" i="4"/>
  <c r="B14" i="4"/>
  <c r="I13" i="4"/>
  <c r="B13" i="4"/>
  <c r="I12" i="4"/>
  <c r="B12" i="4"/>
  <c r="I11" i="4"/>
  <c r="B11" i="4"/>
  <c r="I10" i="4"/>
  <c r="B10" i="4"/>
  <c r="I9" i="4"/>
  <c r="B9" i="4"/>
  <c r="I8" i="4"/>
  <c r="B8" i="4"/>
  <c r="I7" i="4"/>
  <c r="B7" i="4"/>
  <c r="I6" i="4"/>
  <c r="B6" i="4"/>
  <c r="I5" i="4"/>
  <c r="B5" i="4"/>
  <c r="I4" i="4"/>
  <c r="B4" i="4"/>
  <c r="BO34" i="3" s="1"/>
  <c r="I3" i="4"/>
  <c r="B3" i="4"/>
  <c r="BZ7" i="3" s="1"/>
  <c r="C4" i="3" s="1"/>
  <c r="BO7" i="3" s="1"/>
  <c r="I1" i="4"/>
  <c r="D32" i="2"/>
  <c r="BX38" i="3"/>
  <c r="BV38" i="3"/>
  <c r="BX37" i="3"/>
  <c r="BV37" i="3"/>
  <c r="BX36" i="3"/>
  <c r="BV36" i="3"/>
  <c r="BX35" i="3"/>
  <c r="BV35" i="3"/>
  <c r="BX34" i="3"/>
  <c r="BV34" i="3"/>
  <c r="BX33" i="3"/>
  <c r="BV33" i="3"/>
  <c r="BX32" i="3"/>
  <c r="BV32" i="3"/>
  <c r="BX31" i="3"/>
  <c r="BV31" i="3"/>
  <c r="BX30" i="3"/>
  <c r="E28" i="2" s="1"/>
  <c r="D28" i="2" s="1"/>
  <c r="BV30" i="3"/>
  <c r="BX29" i="3"/>
  <c r="E27" i="2" s="1"/>
  <c r="D27" i="2" s="1"/>
  <c r="BV29" i="3"/>
  <c r="BX28" i="3"/>
  <c r="E26" i="2" s="1"/>
  <c r="D26" i="2" s="1"/>
  <c r="BV28" i="3"/>
  <c r="BX27" i="3"/>
  <c r="E25" i="2" s="1"/>
  <c r="D25" i="2" s="1"/>
  <c r="BV27" i="3"/>
  <c r="BX26" i="3"/>
  <c r="E24" i="2" s="1"/>
  <c r="D24" i="2" s="1"/>
  <c r="BV26" i="3"/>
  <c r="BX25" i="3"/>
  <c r="E23" i="2" s="1"/>
  <c r="D23" i="2" s="1"/>
  <c r="BV25" i="3"/>
  <c r="BX24" i="3"/>
  <c r="E22" i="2" s="1"/>
  <c r="D22" i="2" s="1"/>
  <c r="BV24" i="3"/>
  <c r="BX23" i="3"/>
  <c r="E21" i="2" s="1"/>
  <c r="D21" i="2" s="1"/>
  <c r="BV23" i="3"/>
  <c r="BX22" i="3"/>
  <c r="E20" i="2" s="1"/>
  <c r="D20" i="2" s="1"/>
  <c r="BV22" i="3"/>
  <c r="BX21" i="3"/>
  <c r="E19" i="2" s="1"/>
  <c r="D19" i="2" s="1"/>
  <c r="BV21" i="3"/>
  <c r="BX20" i="3"/>
  <c r="E18" i="2" s="1"/>
  <c r="D18" i="2" s="1"/>
  <c r="BV20" i="3"/>
  <c r="BX19" i="3"/>
  <c r="E17" i="2" s="1"/>
  <c r="D17" i="2" s="1"/>
  <c r="BV19" i="3"/>
  <c r="L19" i="3"/>
  <c r="BX18" i="3"/>
  <c r="E16" i="2" s="1"/>
  <c r="D16" i="2" s="1"/>
  <c r="BV18" i="3"/>
  <c r="L18" i="3"/>
  <c r="BX17" i="3"/>
  <c r="E15" i="2" s="1"/>
  <c r="D15" i="2" s="1"/>
  <c r="BV17" i="3"/>
  <c r="L17" i="3"/>
  <c r="BX16" i="3"/>
  <c r="E14" i="2" s="1"/>
  <c r="D14" i="2" s="1"/>
  <c r="BV16" i="3"/>
  <c r="AU16" i="3"/>
  <c r="AR16" i="3"/>
  <c r="AQ16" i="3"/>
  <c r="L16" i="3"/>
  <c r="BX15" i="3"/>
  <c r="BV15" i="3"/>
  <c r="L15" i="3"/>
  <c r="BX14" i="3"/>
  <c r="E12" i="2" s="1"/>
  <c r="D12" i="2" s="1"/>
  <c r="BV14" i="3"/>
  <c r="L14" i="3"/>
  <c r="BX13" i="3"/>
  <c r="E11" i="2" s="1"/>
  <c r="D11" i="2" s="1"/>
  <c r="BV13" i="3"/>
  <c r="L13" i="3"/>
  <c r="BX12" i="3"/>
  <c r="E10" i="2" s="1"/>
  <c r="D10" i="2" s="1"/>
  <c r="BV12" i="3"/>
  <c r="AU12" i="3"/>
  <c r="AR12" i="3"/>
  <c r="AQ12" i="3"/>
  <c r="L12" i="3"/>
  <c r="BX11" i="3"/>
  <c r="E9" i="2" s="1"/>
  <c r="D9" i="2" s="1"/>
  <c r="BV11" i="3"/>
  <c r="L11" i="3"/>
  <c r="B11" i="3"/>
  <c r="B15" i="3" s="1"/>
  <c r="B19" i="3" s="1"/>
  <c r="BX10" i="3"/>
  <c r="E8" i="2" s="1"/>
  <c r="D8" i="2" s="1"/>
  <c r="BV10" i="3"/>
  <c r="L10" i="3"/>
  <c r="B10" i="3"/>
  <c r="B14" i="3" s="1"/>
  <c r="B18" i="3" s="1"/>
  <c r="BX9" i="3"/>
  <c r="E7" i="2" s="1"/>
  <c r="D7" i="2" s="1"/>
  <c r="BV9" i="3"/>
  <c r="L9" i="3"/>
  <c r="B9" i="3"/>
  <c r="B13" i="3" s="1"/>
  <c r="B17" i="3" s="1"/>
  <c r="BX8" i="3"/>
  <c r="E6" i="2" s="1"/>
  <c r="D6" i="2" s="1"/>
  <c r="BV8" i="3"/>
  <c r="AU8" i="3"/>
  <c r="AR8" i="3"/>
  <c r="AQ8" i="3"/>
  <c r="L8" i="3"/>
  <c r="B8" i="3"/>
  <c r="B12" i="3" s="1"/>
  <c r="B16" i="3" s="1"/>
  <c r="BX7" i="3"/>
  <c r="E5" i="2" s="1"/>
  <c r="D5" i="2" s="1"/>
  <c r="BV7" i="3"/>
  <c r="BT7" i="3"/>
  <c r="L7" i="3"/>
  <c r="L6" i="3"/>
  <c r="L5" i="3"/>
  <c r="L4" i="3"/>
  <c r="D37" i="2"/>
  <c r="D36" i="2"/>
  <c r="D35" i="2"/>
  <c r="D34" i="2"/>
  <c r="D33" i="2"/>
  <c r="D31" i="2"/>
  <c r="D30" i="2"/>
  <c r="E13" i="2"/>
  <c r="D13" i="2" s="1"/>
  <c r="B2" i="2" l="1"/>
  <c r="F11" i="2"/>
  <c r="F19" i="2" s="1"/>
  <c r="F8" i="2"/>
  <c r="B39" i="2"/>
  <c r="K10" i="2"/>
  <c r="K7" i="2"/>
  <c r="F12" i="2"/>
  <c r="F10" i="2"/>
  <c r="F7" i="2"/>
  <c r="K11" i="2"/>
  <c r="K9" i="2"/>
  <c r="K5" i="2"/>
  <c r="B4" i="2"/>
  <c r="H3" i="2"/>
  <c r="B3" i="2"/>
  <c r="K8" i="2"/>
  <c r="P4" i="2"/>
  <c r="E3" i="2"/>
  <c r="K28" i="2"/>
  <c r="K3" i="2"/>
  <c r="D3" i="2"/>
  <c r="K12" i="2"/>
  <c r="F9" i="2"/>
  <c r="P3" i="2"/>
  <c r="F3" i="2"/>
  <c r="P22" i="2"/>
  <c r="N3" i="2"/>
  <c r="P42" i="2"/>
  <c r="P16" i="2"/>
  <c r="B29" i="2"/>
  <c r="P39" i="2"/>
  <c r="P10" i="2"/>
  <c r="BO37" i="3"/>
  <c r="BZ12" i="3"/>
  <c r="C9" i="3" s="1"/>
  <c r="BO12" i="3" s="1"/>
  <c r="BZ17" i="3"/>
  <c r="C14" i="3" s="1"/>
  <c r="BO17" i="3" s="1"/>
  <c r="BZ22" i="3"/>
  <c r="C19" i="3" s="1"/>
  <c r="BO22" i="3" s="1"/>
  <c r="BO27" i="3"/>
  <c r="BO28" i="3"/>
  <c r="BZ8" i="3"/>
  <c r="C5" i="3" s="1"/>
  <c r="BO8" i="3" s="1"/>
  <c r="BZ18" i="3"/>
  <c r="C15" i="3" s="1"/>
  <c r="BO18" i="3" s="1"/>
  <c r="BO23" i="3"/>
  <c r="BO24" i="3"/>
  <c r="BO29" i="3"/>
  <c r="BO36" i="3"/>
  <c r="BM145" i="3"/>
  <c r="BZ13" i="3"/>
  <c r="C10" i="3" s="1"/>
  <c r="BO13" i="3" s="1"/>
  <c r="BZ14" i="3"/>
  <c r="C11" i="3" s="1"/>
  <c r="BO14" i="3" s="1"/>
  <c r="BZ19" i="3"/>
  <c r="C16" i="3" s="1"/>
  <c r="BO19" i="3" s="1"/>
  <c r="BZ20" i="3"/>
  <c r="C17" i="3" s="1"/>
  <c r="BO20" i="3" s="1"/>
  <c r="BO25" i="3"/>
  <c r="BO30" i="3"/>
  <c r="BO31" i="3"/>
  <c r="BO35" i="3"/>
  <c r="BM147" i="3"/>
  <c r="BZ10" i="3"/>
  <c r="C7" i="3" s="1"/>
  <c r="BO10" i="3" s="1"/>
  <c r="BZ9" i="3"/>
  <c r="C6" i="3" s="1"/>
  <c r="BO9" i="3" s="1"/>
  <c r="BZ11" i="3"/>
  <c r="C8" i="3" s="1"/>
  <c r="BO11" i="3" s="1"/>
  <c r="BZ15" i="3"/>
  <c r="C12" i="3" s="1"/>
  <c r="BO15" i="3" s="1"/>
  <c r="BZ16" i="3"/>
  <c r="C13" i="3" s="1"/>
  <c r="BO16" i="3" s="1"/>
  <c r="BZ21" i="3"/>
  <c r="BO21" i="3" s="1"/>
  <c r="BO26" i="3"/>
  <c r="BO33" i="3"/>
  <c r="BO32" i="3"/>
  <c r="BO38" i="3"/>
  <c r="F18" i="2" l="1"/>
  <c r="K26" i="2"/>
  <c r="F25" i="2"/>
  <c r="K18" i="2"/>
  <c r="F28" i="2"/>
  <c r="K20" i="2"/>
  <c r="F24" i="2"/>
  <c r="K16" i="2"/>
  <c r="F20" i="2"/>
  <c r="K27" i="2"/>
  <c r="F16" i="2"/>
  <c r="K23" i="2"/>
  <c r="K24" i="2"/>
  <c r="F15" i="2"/>
  <c r="K25" i="2"/>
  <c r="F17" i="2"/>
  <c r="F26" i="2"/>
  <c r="K17" i="2"/>
  <c r="K15" i="2"/>
  <c r="F23" i="2"/>
  <c r="K19" i="2"/>
  <c r="F27" i="2"/>
  <c r="F22" i="2"/>
  <c r="K13" i="2"/>
  <c r="E18" i="3" l="1"/>
  <c r="F12" i="3"/>
  <c r="F11" i="3"/>
  <c r="E11" i="3"/>
  <c r="I11" i="3"/>
  <c r="H16" i="3"/>
  <c r="H17" i="3"/>
  <c r="G9" i="3"/>
  <c r="H10" i="3"/>
  <c r="F17" i="3"/>
  <c r="H7" i="3"/>
  <c r="G12" i="3"/>
  <c r="G16" i="3"/>
  <c r="F16" i="3"/>
  <c r="F7" i="3"/>
  <c r="E7" i="3"/>
  <c r="H14" i="3"/>
  <c r="F15" i="3"/>
  <c r="H5" i="3"/>
  <c r="I12" i="3"/>
  <c r="I7" i="3"/>
  <c r="G10" i="3"/>
  <c r="I10" i="3"/>
  <c r="H11" i="3"/>
  <c r="I17" i="3"/>
  <c r="I5" i="3"/>
  <c r="G7" i="3"/>
  <c r="H4" i="3"/>
  <c r="I6" i="3"/>
  <c r="E10" i="3"/>
  <c r="I18" i="3"/>
  <c r="F14" i="3"/>
  <c r="I9" i="3"/>
  <c r="E15" i="3"/>
  <c r="I8" i="3"/>
  <c r="E5" i="3"/>
  <c r="G11" i="3"/>
  <c r="H19" i="3"/>
  <c r="F6" i="3"/>
  <c r="I13" i="3"/>
  <c r="E4" i="3"/>
  <c r="I15" i="3"/>
  <c r="E13" i="3"/>
  <c r="F5" i="3"/>
  <c r="K5" i="3" s="1"/>
  <c r="H6" i="3"/>
  <c r="J6" i="3" s="1"/>
  <c r="G13" i="3"/>
  <c r="H12" i="3"/>
  <c r="F10" i="3"/>
  <c r="E14" i="3"/>
  <c r="F9" i="3"/>
  <c r="H18" i="3"/>
  <c r="J18" i="3" s="1"/>
  <c r="F19" i="3"/>
  <c r="G14" i="3"/>
  <c r="H13" i="3"/>
  <c r="G19" i="3"/>
  <c r="I14" i="3"/>
  <c r="J14" i="3" s="1"/>
  <c r="I4" i="3"/>
  <c r="F4" i="3"/>
  <c r="E9" i="3"/>
  <c r="G5" i="3"/>
  <c r="E19" i="3"/>
  <c r="H15" i="3"/>
  <c r="J15" i="3" s="1"/>
  <c r="H9" i="3"/>
  <c r="J9" i="3" s="1"/>
  <c r="E12" i="3"/>
  <c r="K12" i="3" s="1"/>
  <c r="H8" i="3"/>
  <c r="F18" i="3"/>
  <c r="K18" i="3" s="1"/>
  <c r="G4" i="3"/>
  <c r="F13" i="3"/>
  <c r="I16" i="3"/>
  <c r="G15" i="3"/>
  <c r="E8" i="3"/>
  <c r="E16" i="3"/>
  <c r="G18" i="3"/>
  <c r="E17" i="3"/>
  <c r="K17" i="3" s="1"/>
  <c r="F8" i="3"/>
  <c r="E6" i="3"/>
  <c r="G6" i="3"/>
  <c r="I19" i="3"/>
  <c r="G17" i="3"/>
  <c r="G8" i="3"/>
  <c r="J11" i="3" l="1"/>
  <c r="K11" i="3"/>
  <c r="J4" i="3"/>
  <c r="J10" i="3"/>
  <c r="K8" i="3"/>
  <c r="D5" i="3"/>
  <c r="D17" i="3"/>
  <c r="D4" i="3"/>
  <c r="K9" i="3"/>
  <c r="J17" i="3"/>
  <c r="J12" i="3"/>
  <c r="D13" i="3"/>
  <c r="K6" i="3"/>
  <c r="D7" i="3"/>
  <c r="J5" i="3"/>
  <c r="K7" i="3"/>
  <c r="D12" i="3"/>
  <c r="D19" i="3"/>
  <c r="J13" i="3"/>
  <c r="D15" i="3"/>
  <c r="D11" i="3"/>
  <c r="J16" i="3"/>
  <c r="J8" i="3"/>
  <c r="K19" i="3"/>
  <c r="J7" i="3"/>
  <c r="K4" i="3"/>
  <c r="D14" i="3"/>
  <c r="K14" i="3"/>
  <c r="J19" i="3"/>
  <c r="K10" i="3"/>
  <c r="K15" i="3"/>
  <c r="D18" i="3"/>
  <c r="D9" i="3"/>
  <c r="D10" i="3"/>
  <c r="D6" i="3"/>
  <c r="K16" i="3"/>
  <c r="N16" i="3" s="1"/>
  <c r="K13" i="3"/>
  <c r="D16" i="3"/>
  <c r="D8" i="3"/>
  <c r="N17" i="3"/>
  <c r="N8" i="3" l="1"/>
  <c r="N11" i="3"/>
  <c r="N6" i="3"/>
  <c r="N5" i="3"/>
  <c r="N9" i="3"/>
  <c r="N4" i="3"/>
  <c r="N7" i="3"/>
  <c r="N10" i="3"/>
  <c r="N13" i="3"/>
  <c r="N18" i="3"/>
  <c r="N19" i="3"/>
  <c r="N14" i="3"/>
  <c r="N15" i="3"/>
  <c r="N12" i="3"/>
  <c r="Q10" i="3" l="1"/>
  <c r="Q5" i="3"/>
  <c r="O16" i="3"/>
  <c r="P16" i="3" s="1"/>
  <c r="O6" i="3"/>
  <c r="P6" i="3" s="1"/>
  <c r="Q8" i="3"/>
  <c r="Q17" i="3"/>
  <c r="O18" i="3"/>
  <c r="P18" i="3" s="1"/>
  <c r="Q9" i="3"/>
  <c r="Q18" i="3"/>
  <c r="O17" i="3"/>
  <c r="P17" i="3" s="1"/>
  <c r="O10" i="3"/>
  <c r="P10" i="3" s="1"/>
  <c r="R10" i="3" s="1"/>
  <c r="O11" i="3"/>
  <c r="P11" i="3" s="1"/>
  <c r="Q16" i="3"/>
  <c r="O9" i="3"/>
  <c r="P9" i="3" s="1"/>
  <c r="Q11" i="3"/>
  <c r="O19" i="3"/>
  <c r="P19" i="3" s="1"/>
  <c r="O8" i="3"/>
  <c r="P8" i="3" s="1"/>
  <c r="R8" i="3" s="1"/>
  <c r="Q19" i="3"/>
  <c r="O5" i="3"/>
  <c r="P5" i="3" s="1"/>
  <c r="R5" i="3" s="1"/>
  <c r="Q4" i="3"/>
  <c r="Q6" i="3"/>
  <c r="O7" i="3"/>
  <c r="P7" i="3" s="1"/>
  <c r="Q7" i="3"/>
  <c r="O4" i="3"/>
  <c r="P4" i="3" s="1"/>
  <c r="Q14" i="3"/>
  <c r="O12" i="3"/>
  <c r="P12" i="3" s="1"/>
  <c r="Q12" i="3"/>
  <c r="O15" i="3"/>
  <c r="P15" i="3" s="1"/>
  <c r="O14" i="3"/>
  <c r="P14" i="3" s="1"/>
  <c r="Q13" i="3"/>
  <c r="O13" i="3"/>
  <c r="P13" i="3" s="1"/>
  <c r="Q15" i="3"/>
  <c r="R4" i="3" l="1"/>
  <c r="R17" i="3"/>
  <c r="R15" i="3"/>
  <c r="R16" i="3"/>
  <c r="R12" i="3"/>
  <c r="R6" i="3"/>
  <c r="R11" i="3"/>
  <c r="R19" i="3"/>
  <c r="R9" i="3"/>
  <c r="R18" i="3"/>
  <c r="R14" i="3"/>
  <c r="R7" i="3"/>
  <c r="R13" i="3"/>
  <c r="S6" i="3" l="1"/>
  <c r="S7" i="3"/>
  <c r="S19" i="3"/>
  <c r="S9" i="3"/>
  <c r="S11" i="3"/>
  <c r="S18" i="3"/>
  <c r="S17" i="3"/>
  <c r="S15" i="3"/>
  <c r="S10" i="3"/>
  <c r="S8" i="3"/>
  <c r="S16" i="3"/>
  <c r="U16" i="3" s="1"/>
  <c r="V16" i="3" s="1"/>
  <c r="S4" i="3"/>
  <c r="S5" i="3"/>
  <c r="S14" i="3"/>
  <c r="S12" i="3"/>
  <c r="U12" i="3" s="1"/>
  <c r="V12" i="3" s="1"/>
  <c r="S13" i="3"/>
  <c r="U18" i="3" l="1"/>
  <c r="U9" i="3"/>
  <c r="V9" i="3" s="1"/>
  <c r="U17" i="3"/>
  <c r="U8" i="3"/>
  <c r="U19" i="3"/>
  <c r="A19" i="3" s="1"/>
  <c r="U10" i="3"/>
  <c r="A10" i="3" s="1"/>
  <c r="U11" i="3"/>
  <c r="V11" i="3" s="1"/>
  <c r="Y10" i="3" s="1"/>
  <c r="Y11" i="3" s="1"/>
  <c r="BA10" i="3" s="1"/>
  <c r="U6" i="3"/>
  <c r="V6" i="3" s="1"/>
  <c r="X5" i="3" s="1"/>
  <c r="X6" i="3" s="1"/>
  <c r="U4" i="3"/>
  <c r="A4" i="3" s="1"/>
  <c r="U5" i="3"/>
  <c r="V5" i="3" s="1"/>
  <c r="U7" i="3"/>
  <c r="A7" i="3" s="1"/>
  <c r="U13" i="3"/>
  <c r="V13" i="3" s="1"/>
  <c r="W12" i="3" s="1"/>
  <c r="W13" i="3" s="1"/>
  <c r="U14" i="3"/>
  <c r="V14" i="3" s="1"/>
  <c r="X13" i="3" s="1"/>
  <c r="X14" i="3" s="1"/>
  <c r="U15" i="3"/>
  <c r="V15" i="3" s="1"/>
  <c r="A12" i="3"/>
  <c r="A9" i="3"/>
  <c r="V19" i="3"/>
  <c r="Y18" i="3" s="1"/>
  <c r="Y19" i="3" s="1"/>
  <c r="BB18" i="3" s="1"/>
  <c r="A16" i="3"/>
  <c r="V17" i="3"/>
  <c r="W16" i="3" s="1"/>
  <c r="A17" i="3"/>
  <c r="A18" i="3"/>
  <c r="V18" i="3"/>
  <c r="X17" i="3" s="1"/>
  <c r="AS17" i="3" s="1"/>
  <c r="W8" i="3" l="1"/>
  <c r="W9" i="3" s="1"/>
  <c r="A8" i="3"/>
  <c r="V8" i="3"/>
  <c r="V10" i="3"/>
  <c r="X9" i="3" s="1"/>
  <c r="AT9" i="3" s="1"/>
  <c r="A5" i="3"/>
  <c r="Y14" i="3"/>
  <c r="Y15" i="3" s="1"/>
  <c r="BA14" i="3" s="1"/>
  <c r="A13" i="3"/>
  <c r="A11" i="3"/>
  <c r="W4" i="3"/>
  <c r="W5" i="3" s="1"/>
  <c r="V4" i="3"/>
  <c r="A6" i="3"/>
  <c r="V7" i="3"/>
  <c r="Y6" i="3" s="1"/>
  <c r="A14" i="3"/>
  <c r="A15" i="3"/>
  <c r="AX14" i="3"/>
  <c r="W17" i="3"/>
  <c r="W18" i="3" s="1"/>
  <c r="AT17" i="3"/>
  <c r="AU17" i="3" s="1"/>
  <c r="AV17" i="3"/>
  <c r="X18" i="3"/>
  <c r="AS18" i="3" s="1"/>
  <c r="AX10" i="3"/>
  <c r="BA18" i="3"/>
  <c r="BC18" i="3" s="1"/>
  <c r="AY18" i="3"/>
  <c r="AX18" i="3"/>
  <c r="AZ18" i="3"/>
  <c r="BA11" i="3"/>
  <c r="BB11" i="3"/>
  <c r="AZ11" i="3"/>
  <c r="AY11" i="3"/>
  <c r="AX11" i="3"/>
  <c r="AY10" i="3"/>
  <c r="X15" i="3"/>
  <c r="AO14" i="3" s="1"/>
  <c r="W14" i="3"/>
  <c r="AZ10" i="3"/>
  <c r="BB10" i="3"/>
  <c r="BC10" i="3" s="1"/>
  <c r="BA19" i="3"/>
  <c r="BB19" i="3"/>
  <c r="AX19" i="3"/>
  <c r="AY19" i="3"/>
  <c r="AZ19" i="3"/>
  <c r="BB15" i="3"/>
  <c r="AX15" i="3" l="1"/>
  <c r="X7" i="3"/>
  <c r="AM6" i="3" s="1"/>
  <c r="W10" i="3"/>
  <c r="AV9" i="3"/>
  <c r="AS9" i="3"/>
  <c r="AU9" i="3" s="1"/>
  <c r="X10" i="3"/>
  <c r="X11" i="3" s="1"/>
  <c r="AO10" i="3" s="1"/>
  <c r="AY15" i="3"/>
  <c r="BD15" i="3" s="1"/>
  <c r="BA15" i="3"/>
  <c r="BC15" i="3" s="1"/>
  <c r="AZ15" i="3"/>
  <c r="BB14" i="3"/>
  <c r="BC14" i="3" s="1"/>
  <c r="AZ14" i="3"/>
  <c r="AY14" i="3"/>
  <c r="BD14" i="3" s="1"/>
  <c r="Y7" i="3"/>
  <c r="BB6" i="3" s="1"/>
  <c r="AS10" i="3"/>
  <c r="AT18" i="3"/>
  <c r="AU18" i="3" s="1"/>
  <c r="X19" i="3"/>
  <c r="AM18" i="3" s="1"/>
  <c r="AV18" i="3"/>
  <c r="BD18" i="3"/>
  <c r="BD10" i="3"/>
  <c r="AN14" i="3"/>
  <c r="AN13" i="3"/>
  <c r="AL14" i="3"/>
  <c r="AP14" i="3"/>
  <c r="AQ14" i="3" s="1"/>
  <c r="AM14" i="3"/>
  <c r="AL6" i="3"/>
  <c r="AR6" i="3" s="1"/>
  <c r="AP6" i="3"/>
  <c r="AN6" i="3"/>
  <c r="AO6" i="3"/>
  <c r="BC19" i="3"/>
  <c r="W19" i="3"/>
  <c r="AB16" i="3" s="1"/>
  <c r="BD11" i="3"/>
  <c r="AS11" i="3"/>
  <c r="AP11" i="3"/>
  <c r="AM9" i="3"/>
  <c r="AL10" i="3"/>
  <c r="BC11" i="3"/>
  <c r="AP10" i="3"/>
  <c r="AQ10" i="3" s="1"/>
  <c r="W6" i="3"/>
  <c r="AS7" i="3"/>
  <c r="AO7" i="3"/>
  <c r="AV7" i="3"/>
  <c r="AT7" i="3"/>
  <c r="AP7" i="3"/>
  <c r="AN7" i="3"/>
  <c r="AL7" i="3"/>
  <c r="AM7" i="3"/>
  <c r="AL5" i="3"/>
  <c r="AO5" i="3"/>
  <c r="AN5" i="3"/>
  <c r="AP5" i="3"/>
  <c r="AM5" i="3"/>
  <c r="W11" i="3"/>
  <c r="Z8" i="3" s="1"/>
  <c r="BD19" i="3"/>
  <c r="W15" i="3"/>
  <c r="AA14" i="3" s="1"/>
  <c r="AS15" i="3"/>
  <c r="AO15" i="3"/>
  <c r="AV15" i="3"/>
  <c r="AT15" i="3"/>
  <c r="AP15" i="3"/>
  <c r="AN15" i="3"/>
  <c r="AM15" i="3"/>
  <c r="AL15" i="3"/>
  <c r="AO13" i="3"/>
  <c r="AL13" i="3"/>
  <c r="AM13" i="3"/>
  <c r="AP13" i="3"/>
  <c r="AP9" i="3" l="1"/>
  <c r="AO9" i="3"/>
  <c r="AL11" i="3"/>
  <c r="AT11" i="3"/>
  <c r="AU11" i="3" s="1"/>
  <c r="AM10" i="3"/>
  <c r="AN9" i="3"/>
  <c r="AN11" i="3"/>
  <c r="AV11" i="3"/>
  <c r="AL9" i="3"/>
  <c r="AM11" i="3"/>
  <c r="AO11" i="3"/>
  <c r="AT10" i="3"/>
  <c r="AN10" i="3"/>
  <c r="AV10" i="3"/>
  <c r="BA7" i="3"/>
  <c r="AY6" i="3"/>
  <c r="AY7" i="3"/>
  <c r="AZ6" i="3"/>
  <c r="AX6" i="3"/>
  <c r="BB7" i="3"/>
  <c r="BC7" i="3" s="1"/>
  <c r="BA6" i="3"/>
  <c r="BC6" i="3" s="1"/>
  <c r="AZ7" i="3"/>
  <c r="AX7" i="3"/>
  <c r="AU10" i="3"/>
  <c r="AL17" i="3"/>
  <c r="AL18" i="3"/>
  <c r="AR18" i="3" s="1"/>
  <c r="AN19" i="3"/>
  <c r="AN18" i="3"/>
  <c r="AT19" i="3"/>
  <c r="AP17" i="3"/>
  <c r="AL19" i="3"/>
  <c r="AO19" i="3"/>
  <c r="AO18" i="3"/>
  <c r="AN17" i="3"/>
  <c r="AO17" i="3"/>
  <c r="AV19" i="3"/>
  <c r="AS19" i="3"/>
  <c r="AU19" i="3" s="1"/>
  <c r="AP18" i="3"/>
  <c r="AM17" i="3"/>
  <c r="AM19" i="3"/>
  <c r="AP19" i="3"/>
  <c r="AR5" i="3"/>
  <c r="AB10" i="3"/>
  <c r="AR14" i="3"/>
  <c r="AQ6" i="3"/>
  <c r="AB8" i="3"/>
  <c r="AR10" i="3"/>
  <c r="Z16" i="3"/>
  <c r="AA18" i="3"/>
  <c r="AC17" i="3"/>
  <c r="AD17" i="3"/>
  <c r="AA12" i="3"/>
  <c r="AQ7" i="3"/>
  <c r="AC10" i="3"/>
  <c r="AC14" i="3"/>
  <c r="AQ13" i="3"/>
  <c r="AU15" i="3"/>
  <c r="Z10" i="3"/>
  <c r="AR11" i="3"/>
  <c r="AC16" i="3"/>
  <c r="Z18" i="3"/>
  <c r="AC8" i="3"/>
  <c r="AA8" i="3"/>
  <c r="AF8" i="3" s="1"/>
  <c r="AA10" i="3"/>
  <c r="AD10" i="3"/>
  <c r="AA16" i="3"/>
  <c r="AD18" i="3"/>
  <c r="AC18" i="3"/>
  <c r="AQ5" i="3"/>
  <c r="W7" i="3"/>
  <c r="AC4" i="3" s="1"/>
  <c r="AC19" i="3"/>
  <c r="AD19" i="3"/>
  <c r="AA19" i="3"/>
  <c r="Z19" i="3"/>
  <c r="AB19" i="3"/>
  <c r="AB17" i="3"/>
  <c r="Z17" i="3"/>
  <c r="AA17" i="3"/>
  <c r="AB14" i="3"/>
  <c r="AR13" i="3"/>
  <c r="AR15" i="3"/>
  <c r="Z14" i="3"/>
  <c r="AF14" i="3" s="1"/>
  <c r="AD14" i="3"/>
  <c r="AC11" i="3"/>
  <c r="AD11" i="3"/>
  <c r="AB11" i="3"/>
  <c r="AA11" i="3"/>
  <c r="Z11" i="3"/>
  <c r="AC9" i="3"/>
  <c r="Z9" i="3"/>
  <c r="AD8" i="3"/>
  <c r="AD9" i="3"/>
  <c r="AA9" i="3"/>
  <c r="AB9" i="3"/>
  <c r="AU7" i="3"/>
  <c r="AQ9" i="3"/>
  <c r="AD16" i="3"/>
  <c r="AB18" i="3"/>
  <c r="AQ15" i="3"/>
  <c r="AC12" i="3"/>
  <c r="AR7" i="3"/>
  <c r="AQ11" i="3"/>
  <c r="AC15" i="3"/>
  <c r="AD15" i="3"/>
  <c r="AB15" i="3"/>
  <c r="AA15" i="3"/>
  <c r="Z15" i="3"/>
  <c r="AB13" i="3"/>
  <c r="AB12" i="3"/>
  <c r="AA13" i="3"/>
  <c r="AD12" i="3"/>
  <c r="Z13" i="3"/>
  <c r="AC13" i="3"/>
  <c r="AD13" i="3"/>
  <c r="Z12" i="3"/>
  <c r="AR9" i="3"/>
  <c r="AS5" i="3" l="1"/>
  <c r="BD7" i="3"/>
  <c r="BD6" i="3"/>
  <c r="AR17" i="3"/>
  <c r="AQ17" i="3"/>
  <c r="AR19" i="3"/>
  <c r="AQ19" i="3"/>
  <c r="AQ18" i="3"/>
  <c r="AF10" i="3"/>
  <c r="AS6" i="3"/>
  <c r="AT5" i="3" s="1"/>
  <c r="AU5" i="3" s="1"/>
  <c r="BE18" i="3"/>
  <c r="AF16" i="3"/>
  <c r="AE14" i="3"/>
  <c r="AD5" i="3"/>
  <c r="AB5" i="3"/>
  <c r="AB4" i="3"/>
  <c r="AE8" i="3"/>
  <c r="Z6" i="3"/>
  <c r="AE18" i="3"/>
  <c r="AE17" i="3"/>
  <c r="Z4" i="3"/>
  <c r="AA6" i="3"/>
  <c r="AF12" i="3"/>
  <c r="AD4" i="3"/>
  <c r="AE4" i="3" s="1"/>
  <c r="AB6" i="3"/>
  <c r="AD6" i="3"/>
  <c r="AA4" i="3"/>
  <c r="AE16" i="3"/>
  <c r="AE10" i="3"/>
  <c r="AS14" i="3"/>
  <c r="AF18" i="3"/>
  <c r="AF17" i="3"/>
  <c r="AF13" i="3"/>
  <c r="AE13" i="3"/>
  <c r="AE15" i="3"/>
  <c r="AF15" i="3"/>
  <c r="AE12" i="3"/>
  <c r="AF9" i="3"/>
  <c r="AF11" i="3"/>
  <c r="AF19" i="3"/>
  <c r="AE19" i="3"/>
  <c r="AE11" i="3"/>
  <c r="AS13" i="3"/>
  <c r="AT14" i="3" s="1"/>
  <c r="AC7" i="3"/>
  <c r="AD7" i="3"/>
  <c r="AA7" i="3"/>
  <c r="Z7" i="3"/>
  <c r="AB7" i="3"/>
  <c r="Z5" i="3"/>
  <c r="AC5" i="3"/>
  <c r="AA5" i="3"/>
  <c r="AE9" i="3"/>
  <c r="AC6" i="3"/>
  <c r="AF6" i="3" l="1"/>
  <c r="AU14" i="3"/>
  <c r="AG15" i="3"/>
  <c r="AG10" i="3"/>
  <c r="AG11" i="3"/>
  <c r="AG16" i="3"/>
  <c r="AG17" i="3"/>
  <c r="AG18" i="3"/>
  <c r="AG19" i="3"/>
  <c r="AG14" i="3"/>
  <c r="AT6" i="3"/>
  <c r="AU6" i="3" s="1"/>
  <c r="AG12" i="3"/>
  <c r="AG13" i="3"/>
  <c r="AG9" i="3"/>
  <c r="AG8" i="3"/>
  <c r="BF18" i="3"/>
  <c r="BG18" i="3" s="1"/>
  <c r="BF19" i="3"/>
  <c r="AE5" i="3"/>
  <c r="AF4" i="3"/>
  <c r="AE6" i="3"/>
  <c r="AF7" i="3"/>
  <c r="AE7" i="3"/>
  <c r="AT13" i="3"/>
  <c r="AU13" i="3" s="1"/>
  <c r="AF5" i="3"/>
  <c r="AG7" i="3" l="1"/>
  <c r="AG6" i="3"/>
  <c r="AH10" i="3"/>
  <c r="AI10" i="3" s="1"/>
  <c r="AH11" i="3"/>
  <c r="AI11" i="3" s="1"/>
  <c r="AH16" i="3"/>
  <c r="AI16" i="3" s="1"/>
  <c r="AH17" i="3"/>
  <c r="AI17" i="3" s="1"/>
  <c r="AH18" i="3"/>
  <c r="AI18" i="3" s="1"/>
  <c r="AH19" i="3"/>
  <c r="BE19" i="3" s="1"/>
  <c r="BG19" i="3" s="1"/>
  <c r="AH14" i="3"/>
  <c r="AI14" i="3" s="1"/>
  <c r="AH15" i="3"/>
  <c r="AI15" i="3" s="1"/>
  <c r="AV6" i="3"/>
  <c r="AV5" i="3"/>
  <c r="AH12" i="3"/>
  <c r="AI12" i="3" s="1"/>
  <c r="AH13" i="3"/>
  <c r="AI13" i="3" s="1"/>
  <c r="BH18" i="3"/>
  <c r="AH8" i="3"/>
  <c r="AH9" i="3"/>
  <c r="AI9" i="3" s="1"/>
  <c r="BH19" i="3"/>
  <c r="AV13" i="3"/>
  <c r="AV14" i="3"/>
  <c r="AG4" i="3"/>
  <c r="AG5" i="3"/>
  <c r="AH6" i="3" l="1"/>
  <c r="AI6" i="3" s="1"/>
  <c r="AH7" i="3"/>
  <c r="AI7" i="3" s="1"/>
  <c r="AI19" i="3"/>
  <c r="AJ14" i="3"/>
  <c r="AK14" i="3" s="1"/>
  <c r="AW14" i="3" s="1"/>
  <c r="AJ15" i="3"/>
  <c r="AK15" i="3" s="1"/>
  <c r="AW15" i="3" s="1"/>
  <c r="AJ12" i="3"/>
  <c r="AK12" i="3" s="1"/>
  <c r="AJ13" i="3"/>
  <c r="AK13" i="3" s="1"/>
  <c r="AW13" i="3" s="1"/>
  <c r="BI13" i="3" s="1"/>
  <c r="BE14" i="3"/>
  <c r="BE15" i="3"/>
  <c r="BE10" i="3"/>
  <c r="BE11" i="3"/>
  <c r="AI8" i="3"/>
  <c r="AH4" i="3"/>
  <c r="AH5" i="3"/>
  <c r="AI5" i="3" s="1"/>
  <c r="AI4" i="3" l="1"/>
  <c r="AJ4" i="3" s="1"/>
  <c r="BE6" i="3"/>
  <c r="BE7" i="3"/>
  <c r="AW12" i="3"/>
  <c r="BI12" i="3" s="1"/>
  <c r="AJ16" i="3"/>
  <c r="AK16" i="3" s="1"/>
  <c r="AW16" i="3" s="1"/>
  <c r="BI16" i="3" s="1"/>
  <c r="AJ10" i="3"/>
  <c r="AK10" i="3" s="1"/>
  <c r="AW10" i="3" s="1"/>
  <c r="AJ11" i="3"/>
  <c r="AK11" i="3" s="1"/>
  <c r="AW11" i="3" s="1"/>
  <c r="AJ17" i="3"/>
  <c r="AK17" i="3" s="1"/>
  <c r="AW17" i="3" s="1"/>
  <c r="BI17" i="3" s="1"/>
  <c r="AJ19" i="3"/>
  <c r="AK19" i="3" s="1"/>
  <c r="AW19" i="3" s="1"/>
  <c r="BI19" i="3" s="1"/>
  <c r="AJ6" i="3"/>
  <c r="AK6" i="3" s="1"/>
  <c r="AW6" i="3" s="1"/>
  <c r="AJ7" i="3"/>
  <c r="AK7" i="3" s="1"/>
  <c r="AW7" i="3" s="1"/>
  <c r="AJ18" i="3"/>
  <c r="AK18" i="3" s="1"/>
  <c r="AW18" i="3" s="1"/>
  <c r="BI18" i="3" s="1"/>
  <c r="BF14" i="3"/>
  <c r="BG14" i="3" s="1"/>
  <c r="BF15" i="3"/>
  <c r="BG15" i="3" s="1"/>
  <c r="BF11" i="3"/>
  <c r="BG11" i="3" s="1"/>
  <c r="BF10" i="3"/>
  <c r="BG10" i="3" s="1"/>
  <c r="AJ8" i="3"/>
  <c r="AK8" i="3" s="1"/>
  <c r="AW8" i="3" s="1"/>
  <c r="BI8" i="3" s="1"/>
  <c r="AJ9" i="3"/>
  <c r="AK9" i="3" s="1"/>
  <c r="AW9" i="3" s="1"/>
  <c r="BI9" i="3" s="1"/>
  <c r="AJ5" i="3" l="1"/>
  <c r="AK5" i="3" s="1"/>
  <c r="AW5" i="3" s="1"/>
  <c r="BI5" i="3" s="1"/>
  <c r="AK4" i="3"/>
  <c r="AW4" i="3" s="1"/>
  <c r="BI4" i="3" s="1"/>
  <c r="BF7" i="3"/>
  <c r="BG7" i="3" s="1"/>
  <c r="BF6" i="3"/>
  <c r="BG6" i="3" s="1"/>
  <c r="BJ18" i="3"/>
  <c r="BK18" i="3" s="1"/>
  <c r="BJ17" i="3"/>
  <c r="BK17" i="3" s="1"/>
  <c r="BJ19" i="3"/>
  <c r="BK19" i="3" s="1"/>
  <c r="BJ16" i="3"/>
  <c r="BK16" i="3" s="1"/>
  <c r="BH15" i="3"/>
  <c r="BI15" i="3" s="1"/>
  <c r="BH14" i="3"/>
  <c r="BI14" i="3" s="1"/>
  <c r="BH11" i="3"/>
  <c r="BI11" i="3" s="1"/>
  <c r="BH10" i="3"/>
  <c r="BI10" i="3" s="1"/>
  <c r="BH6" i="3" l="1"/>
  <c r="BI6" i="3" s="1"/>
  <c r="BH7" i="3"/>
  <c r="BI7" i="3" s="1"/>
  <c r="Q25" i="2"/>
  <c r="Q23" i="2"/>
  <c r="Q26" i="2"/>
  <c r="Q24" i="2"/>
  <c r="BJ14" i="3"/>
  <c r="BK14" i="3" s="1"/>
  <c r="BJ13" i="3"/>
  <c r="BK13" i="3" s="1"/>
  <c r="BJ12" i="3"/>
  <c r="BK12" i="3" s="1"/>
  <c r="BJ15" i="3"/>
  <c r="BK15" i="3" s="1"/>
  <c r="BJ11" i="3"/>
  <c r="BK11" i="3" s="1"/>
  <c r="BJ10" i="3"/>
  <c r="BK10" i="3" s="1"/>
  <c r="BJ9" i="3"/>
  <c r="BK9" i="3" s="1"/>
  <c r="BJ8" i="3"/>
  <c r="BK8" i="3" s="1"/>
  <c r="BJ4" i="3" l="1"/>
  <c r="BK4" i="3" s="1"/>
  <c r="BJ6" i="3"/>
  <c r="BK6" i="3" s="1"/>
  <c r="BJ5" i="3"/>
  <c r="BK5" i="3" s="1"/>
  <c r="BJ7" i="3"/>
  <c r="BK7" i="3" s="1"/>
  <c r="U24" i="2"/>
  <c r="V24" i="2"/>
  <c r="T24" i="2"/>
  <c r="W24" i="2"/>
  <c r="R24" i="2"/>
  <c r="S24" i="2"/>
  <c r="U26" i="2"/>
  <c r="S26" i="2"/>
  <c r="W26" i="2"/>
  <c r="V26" i="2"/>
  <c r="R26" i="2"/>
  <c r="T26" i="2"/>
  <c r="W23" i="2"/>
  <c r="T23" i="2"/>
  <c r="U23" i="2"/>
  <c r="R23" i="2"/>
  <c r="S23" i="2"/>
  <c r="V23" i="2"/>
  <c r="S25" i="2"/>
  <c r="R25" i="2"/>
  <c r="T25" i="2"/>
  <c r="W25" i="2"/>
  <c r="V25" i="2"/>
  <c r="U25" i="2"/>
  <c r="Q20" i="2"/>
  <c r="Q17" i="2"/>
  <c r="Q18" i="2"/>
  <c r="Q19" i="2"/>
  <c r="Q12" i="2"/>
  <c r="Q13" i="2"/>
  <c r="Q11" i="2"/>
  <c r="Q14" i="2"/>
  <c r="Q7" i="2" l="1"/>
  <c r="Q8" i="2"/>
  <c r="Q6" i="2"/>
  <c r="Q5" i="2"/>
  <c r="F33" i="2"/>
  <c r="F35" i="2" s="1"/>
  <c r="K36" i="2" s="1"/>
  <c r="P43" i="2" s="1"/>
  <c r="K32" i="2"/>
  <c r="K35" i="2" s="1"/>
  <c r="K37" i="2" s="1"/>
  <c r="B42" i="2" s="1"/>
  <c r="BY49" i="3"/>
  <c r="BO61" i="3"/>
  <c r="BQ61" i="3" s="1"/>
  <c r="BO47" i="3"/>
  <c r="BQ47" i="3" s="1"/>
  <c r="BO40" i="3"/>
  <c r="BQ40" i="3" s="1"/>
  <c r="BY25" i="3"/>
  <c r="W19" i="2"/>
  <c r="U19" i="2"/>
  <c r="T19" i="2"/>
  <c r="V19" i="2"/>
  <c r="R19" i="2"/>
  <c r="S19" i="2"/>
  <c r="U18" i="2"/>
  <c r="W18" i="2"/>
  <c r="V18" i="2"/>
  <c r="R18" i="2"/>
  <c r="S18" i="2"/>
  <c r="T18" i="2"/>
  <c r="U17" i="2"/>
  <c r="V17" i="2"/>
  <c r="T17" i="2"/>
  <c r="S17" i="2"/>
  <c r="R17" i="2"/>
  <c r="W17" i="2"/>
  <c r="S20" i="2"/>
  <c r="V20" i="2"/>
  <c r="T20" i="2"/>
  <c r="W20" i="2"/>
  <c r="U20" i="2"/>
  <c r="R20" i="2"/>
  <c r="S12" i="2"/>
  <c r="R12" i="2"/>
  <c r="W12" i="2"/>
  <c r="T12" i="2"/>
  <c r="U12" i="2"/>
  <c r="V12" i="2"/>
  <c r="T14" i="2"/>
  <c r="R14" i="2"/>
  <c r="W14" i="2"/>
  <c r="U14" i="2"/>
  <c r="S14" i="2"/>
  <c r="V14" i="2"/>
  <c r="U11" i="2"/>
  <c r="R11" i="2"/>
  <c r="T11" i="2"/>
  <c r="S11" i="2"/>
  <c r="V11" i="2"/>
  <c r="W11" i="2"/>
  <c r="T13" i="2"/>
  <c r="S13" i="2"/>
  <c r="R13" i="2"/>
  <c r="V13" i="2"/>
  <c r="W13" i="2"/>
  <c r="U13" i="2"/>
  <c r="BO59" i="3"/>
  <c r="W5" i="2" l="1"/>
  <c r="U5" i="2"/>
  <c r="S5" i="2"/>
  <c r="V5" i="2"/>
  <c r="R5" i="2"/>
  <c r="T5" i="2"/>
  <c r="V6" i="2"/>
  <c r="R6" i="2"/>
  <c r="W6" i="2"/>
  <c r="S6" i="2"/>
  <c r="U6" i="2"/>
  <c r="T6" i="2"/>
  <c r="T8" i="2"/>
  <c r="W8" i="2"/>
  <c r="S8" i="2"/>
  <c r="U8" i="2"/>
  <c r="V8" i="2"/>
  <c r="R8" i="2"/>
  <c r="U7" i="2"/>
  <c r="V7" i="2"/>
  <c r="T7" i="2"/>
  <c r="S7" i="2"/>
  <c r="R7" i="2"/>
  <c r="W7" i="2"/>
  <c r="BY31" i="3"/>
  <c r="K33" i="2"/>
  <c r="F32" i="2"/>
  <c r="F31" i="2"/>
  <c r="F34" i="2" s="1"/>
  <c r="F37" i="2" s="1"/>
  <c r="P40" i="2" s="1"/>
  <c r="K30" i="2"/>
  <c r="BO44" i="3"/>
  <c r="BO63" i="3"/>
  <c r="BO57" i="3"/>
  <c r="BQ57" i="3" s="1"/>
  <c r="BO42" i="3"/>
  <c r="BY19" i="3"/>
  <c r="BO45" i="3"/>
  <c r="BY43" i="3"/>
  <c r="BY13" i="3"/>
  <c r="K31" i="2" l="1"/>
  <c r="BO65" i="3" s="1"/>
  <c r="F30" i="2"/>
  <c r="K34" i="2" s="1"/>
  <c r="F36" i="2" s="1"/>
  <c r="BY7" i="3"/>
  <c r="BO46" i="3"/>
  <c r="BQ42" i="3"/>
  <c r="BO43" i="3"/>
  <c r="BQ43" i="3" s="1"/>
  <c r="BO67" i="3"/>
  <c r="BO62" i="3"/>
  <c r="BQ62" i="3" s="1"/>
  <c r="BQ59" i="3"/>
  <c r="BO58" i="3"/>
  <c r="BQ58" i="3" s="1"/>
  <c r="BO52" i="3"/>
  <c r="BQ52" i="3" s="1"/>
  <c r="BO41" i="3"/>
  <c r="BQ41" i="3" s="1"/>
  <c r="BY37" i="3"/>
  <c r="BQ63" i="3"/>
  <c r="BO66" i="3"/>
  <c r="BQ66" i="3" s="1"/>
  <c r="BO56" i="3"/>
  <c r="BQ56" i="3" s="1"/>
  <c r="BQ45" i="3"/>
  <c r="BO64" i="3"/>
  <c r="BQ64" i="3" s="1"/>
  <c r="BQ44" i="3"/>
  <c r="BO48" i="3" l="1"/>
  <c r="BQ48" i="3" s="1"/>
  <c r="BO53" i="3"/>
  <c r="BQ53" i="3" s="1"/>
  <c r="BO49" i="3"/>
  <c r="BQ49" i="3" s="1"/>
  <c r="BO60" i="3"/>
  <c r="BQ60" i="3" s="1"/>
  <c r="BO51" i="3"/>
  <c r="BQ46" i="3"/>
  <c r="BO69" i="3"/>
  <c r="BQ67" i="3"/>
  <c r="BQ65" i="3"/>
  <c r="BO70" i="3" l="1"/>
  <c r="BQ70" i="3" s="1"/>
  <c r="BO74" i="3"/>
  <c r="BQ74" i="3" s="1"/>
  <c r="BO68" i="3"/>
  <c r="BQ68" i="3" s="1"/>
  <c r="BQ51" i="3"/>
  <c r="BO50" i="3"/>
  <c r="BQ50" i="3" s="1"/>
  <c r="BO72" i="3"/>
  <c r="BQ72" i="3" s="1"/>
  <c r="BQ69" i="3"/>
  <c r="BO71" i="3"/>
  <c r="BO54" i="3" l="1"/>
  <c r="BQ54" i="3" s="1"/>
  <c r="BO55" i="3"/>
  <c r="BQ55" i="3" s="1"/>
  <c r="BO73" i="3"/>
  <c r="BQ73" i="3" s="1"/>
  <c r="BQ71" i="3"/>
</calcChain>
</file>

<file path=xl/sharedStrings.xml><?xml version="1.0" encoding="utf-8"?>
<sst xmlns="http://schemas.openxmlformats.org/spreadsheetml/2006/main" count="750" uniqueCount="518">
  <si>
    <t>SETUP</t>
  </si>
  <si>
    <t>English</t>
  </si>
  <si>
    <t>FIFA World Ranking Points</t>
  </si>
  <si>
    <t>MY LANGUAGE</t>
  </si>
  <si>
    <t>Original Language (English)</t>
  </si>
  <si>
    <t>Your Language Translation</t>
  </si>
  <si>
    <t></t>
  </si>
  <si>
    <t>Ecuador</t>
  </si>
  <si>
    <t>United States</t>
  </si>
  <si>
    <t>Argentina</t>
  </si>
  <si>
    <t>Mexico</t>
  </si>
  <si>
    <t>Brazil</t>
  </si>
  <si>
    <t>Uruguay</t>
  </si>
  <si>
    <t>Language</t>
  </si>
  <si>
    <t>Timezone</t>
  </si>
  <si>
    <t>Group Stages</t>
  </si>
  <si>
    <t>Matches</t>
  </si>
  <si>
    <t>Standings</t>
  </si>
  <si>
    <t>Group</t>
  </si>
  <si>
    <t>Date</t>
  </si>
  <si>
    <t>Country</t>
  </si>
  <si>
    <t>Score</t>
  </si>
  <si>
    <t>Time</t>
  </si>
  <si>
    <t>Quarter Finals</t>
  </si>
  <si>
    <t>Semi Finals</t>
  </si>
  <si>
    <t>Third Place</t>
  </si>
  <si>
    <t>Final</t>
  </si>
  <si>
    <t>Winner</t>
  </si>
  <si>
    <t>Runner Up</t>
  </si>
  <si>
    <t>Normal Time</t>
  </si>
  <si>
    <t>Penalty Shoot Out</t>
  </si>
  <si>
    <t>Champion</t>
  </si>
  <si>
    <t>Match #</t>
  </si>
  <si>
    <t>Group A Winner</t>
  </si>
  <si>
    <t>Group B Winner</t>
  </si>
  <si>
    <t>Group C Winner</t>
  </si>
  <si>
    <t>Group D Winner</t>
  </si>
  <si>
    <t>Group A Runner Up</t>
  </si>
  <si>
    <t>Group B Runner Up</t>
  </si>
  <si>
    <t>Group C Runner Up</t>
  </si>
  <si>
    <t>Group D Runner Up</t>
  </si>
  <si>
    <t>Played</t>
  </si>
  <si>
    <t>Win</t>
  </si>
  <si>
    <t>Draw</t>
  </si>
  <si>
    <t>Lose</t>
  </si>
  <si>
    <t>Goal scored for</t>
  </si>
  <si>
    <t>Goal scored against</t>
  </si>
  <si>
    <t>Point</t>
  </si>
  <si>
    <t>Second place</t>
  </si>
  <si>
    <t>Group A</t>
  </si>
  <si>
    <t>Group B</t>
  </si>
  <si>
    <t>Group C</t>
  </si>
  <si>
    <t>Group D</t>
  </si>
  <si>
    <t>Venue</t>
  </si>
  <si>
    <t>P</t>
  </si>
  <si>
    <t>W</t>
  </si>
  <si>
    <t>D</t>
  </si>
  <si>
    <t>L</t>
  </si>
  <si>
    <t>F - A</t>
  </si>
  <si>
    <t>Pt</t>
  </si>
  <si>
    <t>A</t>
  </si>
  <si>
    <t>B</t>
  </si>
  <si>
    <t>C</t>
  </si>
  <si>
    <t>F</t>
  </si>
  <si>
    <t>E</t>
  </si>
  <si>
    <t>G</t>
  </si>
  <si>
    <t>H</t>
  </si>
  <si>
    <t>PSO</t>
  </si>
  <si>
    <t>Cairo</t>
  </si>
  <si>
    <t>Canberra</t>
  </si>
  <si>
    <t>Cape Town</t>
  </si>
  <si>
    <t>Caracas</t>
  </si>
  <si>
    <t>Casablanca</t>
  </si>
  <si>
    <t xml:space="preserve">Chicago </t>
  </si>
  <si>
    <t>QF</t>
  </si>
  <si>
    <t xml:space="preserve">Copenhagen </t>
  </si>
  <si>
    <t>SF</t>
  </si>
  <si>
    <t>3rd</t>
  </si>
  <si>
    <t>© 2022 | journalSHEET.com</t>
  </si>
  <si>
    <t>Notes :</t>
  </si>
  <si>
    <t>●</t>
  </si>
  <si>
    <t>Pairing teams in Knock Out rounds will be placed automatically</t>
  </si>
  <si>
    <t>Color meaning :</t>
  </si>
  <si>
    <t>Team Name</t>
  </si>
  <si>
    <t>+0.5</t>
  </si>
  <si>
    <t>+1</t>
  </si>
  <si>
    <t>+1.5</t>
  </si>
  <si>
    <t>+2</t>
  </si>
  <si>
    <t>+2.5</t>
  </si>
  <si>
    <t>+3</t>
  </si>
  <si>
    <t>+3.5</t>
  </si>
  <si>
    <t>+4</t>
  </si>
  <si>
    <t>+4.5</t>
  </si>
  <si>
    <t>+5</t>
  </si>
  <si>
    <t>+5.5</t>
  </si>
  <si>
    <t>+6</t>
  </si>
  <si>
    <t>+6.5</t>
  </si>
  <si>
    <t>+7</t>
  </si>
  <si>
    <t>+7.5</t>
  </si>
  <si>
    <t>+8</t>
  </si>
  <si>
    <t>+8.5</t>
  </si>
  <si>
    <t>+9</t>
  </si>
  <si>
    <t>+9.5</t>
  </si>
  <si>
    <t>+10</t>
  </si>
  <si>
    <t>+10.5</t>
  </si>
  <si>
    <t>+11</t>
  </si>
  <si>
    <t>+11.5</t>
  </si>
  <si>
    <t>+12</t>
  </si>
  <si>
    <t>:</t>
  </si>
  <si>
    <t>Kaliningrad Stadium</t>
  </si>
  <si>
    <t>French</t>
  </si>
  <si>
    <t>German/Deutsch</t>
  </si>
  <si>
    <t>Italian</t>
  </si>
  <si>
    <t>Portuguese</t>
  </si>
  <si>
    <t>Spanish</t>
  </si>
  <si>
    <t>Langue</t>
  </si>
  <si>
    <t>Sprache</t>
  </si>
  <si>
    <t>Linguaggio</t>
  </si>
  <si>
    <t>Idioma</t>
  </si>
  <si>
    <t>Fuseau horaire</t>
  </si>
  <si>
    <t>Zeitzone</t>
  </si>
  <si>
    <t>Fuso orario</t>
  </si>
  <si>
    <t>Fuso Horário</t>
  </si>
  <si>
    <t>Zona Horaria</t>
  </si>
  <si>
    <t>Phases de poules</t>
  </si>
  <si>
    <t>Gruppenphase</t>
  </si>
  <si>
    <t>Fase a gruppi</t>
  </si>
  <si>
    <t>Fase de Grupos</t>
  </si>
  <si>
    <t>Fase de grupos</t>
  </si>
  <si>
    <t>Rencontres</t>
  </si>
  <si>
    <t>Spiele</t>
  </si>
  <si>
    <t>Partite</t>
  </si>
  <si>
    <t>Jogos</t>
  </si>
  <si>
    <t>Partidos</t>
  </si>
  <si>
    <t>Classements</t>
  </si>
  <si>
    <t>Tabellen</t>
  </si>
  <si>
    <t>Classifica</t>
  </si>
  <si>
    <t>Classificações</t>
  </si>
  <si>
    <t>Clasificación</t>
  </si>
  <si>
    <t>Groupe</t>
  </si>
  <si>
    <t>Gruppe</t>
  </si>
  <si>
    <t>Gruppo</t>
  </si>
  <si>
    <t>Grupo</t>
  </si>
  <si>
    <t>Datum</t>
  </si>
  <si>
    <t>Data</t>
  </si>
  <si>
    <t>Fecha</t>
  </si>
  <si>
    <t>Pays</t>
  </si>
  <si>
    <t>Land</t>
  </si>
  <si>
    <t>Nazione</t>
  </si>
  <si>
    <t>País</t>
  </si>
  <si>
    <t>Ergebnis</t>
  </si>
  <si>
    <t>Risultato</t>
  </si>
  <si>
    <t>Resultado</t>
  </si>
  <si>
    <t>Heure</t>
  </si>
  <si>
    <t>Uhrzeit</t>
  </si>
  <si>
    <t>Ora</t>
  </si>
  <si>
    <t>Tempo</t>
  </si>
  <si>
    <t>Hora</t>
  </si>
  <si>
    <t>Quarts de finale</t>
  </si>
  <si>
    <t>Viertelfinale</t>
  </si>
  <si>
    <t>Quarti di finale</t>
  </si>
  <si>
    <t>Quartos de Final</t>
  </si>
  <si>
    <t>Cuartos de final</t>
  </si>
  <si>
    <t>Demi-finales</t>
  </si>
  <si>
    <t>Halbfinale</t>
  </si>
  <si>
    <t>Semifinale</t>
  </si>
  <si>
    <t>Meias Finais</t>
  </si>
  <si>
    <t>Semifinales</t>
  </si>
  <si>
    <t>Finale</t>
  </si>
  <si>
    <t>Gagnant</t>
  </si>
  <si>
    <t>Sieger</t>
  </si>
  <si>
    <t>Vincitore</t>
  </si>
  <si>
    <t>Vencedor</t>
  </si>
  <si>
    <t>Ganador</t>
  </si>
  <si>
    <t>Second</t>
  </si>
  <si>
    <t>Zweiter</t>
  </si>
  <si>
    <t>Qualificato</t>
  </si>
  <si>
    <t>Vencido</t>
  </si>
  <si>
    <t>Subcampeón</t>
  </si>
  <si>
    <t>Temps réglementaire</t>
  </si>
  <si>
    <t>Reguläre Spielzeit</t>
  </si>
  <si>
    <t>Tempo regolamentare</t>
  </si>
  <si>
    <t>Tempo Regulamentar</t>
  </si>
  <si>
    <t>90 minutos</t>
  </si>
  <si>
    <t>Tirs au but</t>
  </si>
  <si>
    <t>Elfmeterschießen</t>
  </si>
  <si>
    <t>Rigori</t>
  </si>
  <si>
    <t>Penáltis</t>
  </si>
  <si>
    <t>Penaltys</t>
  </si>
  <si>
    <t>Meister</t>
  </si>
  <si>
    <t>Campione</t>
  </si>
  <si>
    <t>Campeão</t>
  </si>
  <si>
    <t>Campeón</t>
  </si>
  <si>
    <t>Spiel #</t>
  </si>
  <si>
    <t>Partita n°</t>
  </si>
  <si>
    <t>Jogo #</t>
  </si>
  <si>
    <t>Partido #</t>
  </si>
  <si>
    <t>Groupe A Vainqueur</t>
  </si>
  <si>
    <t>Sieger Gruppe A</t>
  </si>
  <si>
    <t>Vincitore gruppo A</t>
  </si>
  <si>
    <t>Vencedor Grupo A</t>
  </si>
  <si>
    <t>Primero Grupo A</t>
  </si>
  <si>
    <t>Groupe B Vainqueur</t>
  </si>
  <si>
    <t>Sieger Gruppe B</t>
  </si>
  <si>
    <t>Vincitore gruppo B</t>
  </si>
  <si>
    <t>Vencedor Grupo B</t>
  </si>
  <si>
    <t>Primero Grupo B</t>
  </si>
  <si>
    <t>Groupe C Vainqueur</t>
  </si>
  <si>
    <t>Sieger Gruppe C</t>
  </si>
  <si>
    <t>Vincitore gruppo C</t>
  </si>
  <si>
    <t>Vencedor Grupo C</t>
  </si>
  <si>
    <t>Primero Grupo C</t>
  </si>
  <si>
    <t>Groupe D Vainqueur</t>
  </si>
  <si>
    <t>Sieger Gruppe D</t>
  </si>
  <si>
    <t>Vincitore gruppo D</t>
  </si>
  <si>
    <t>Vencedor Grupo D</t>
  </si>
  <si>
    <t>Primero Grupo D</t>
  </si>
  <si>
    <t>Second Groupe A</t>
  </si>
  <si>
    <t>Zweiter Gruppe A</t>
  </si>
  <si>
    <t>Seconda gruppo A</t>
  </si>
  <si>
    <t>2º Classificado Grupo A</t>
  </si>
  <si>
    <t>Segundo Grupo A</t>
  </si>
  <si>
    <t>Second Groupe B</t>
  </si>
  <si>
    <t>Zweiter Gruppe B</t>
  </si>
  <si>
    <t>Seconda gruppo B</t>
  </si>
  <si>
    <t>2º Classificado Grupo B</t>
  </si>
  <si>
    <t>Segundo Grupo B</t>
  </si>
  <si>
    <t>Second Groupe C</t>
  </si>
  <si>
    <t>Zweiter Gruppe C</t>
  </si>
  <si>
    <t>Seconda gruppo C</t>
  </si>
  <si>
    <t>2º Classificado Grupo C</t>
  </si>
  <si>
    <t>Segundo Grupo C</t>
  </si>
  <si>
    <t>Second Groupe D</t>
  </si>
  <si>
    <t>Zweiter Gruppe D</t>
  </si>
  <si>
    <t>Seconda gruppo D</t>
  </si>
  <si>
    <t>2º Classificado Grupo D</t>
  </si>
  <si>
    <t>Segundo Grupo D</t>
  </si>
  <si>
    <t>Match 53 Vainqueur</t>
  </si>
  <si>
    <t>Sieger Spiel 53</t>
  </si>
  <si>
    <t>Vincitore partita 53</t>
  </si>
  <si>
    <t>Vencedor Jogo 53</t>
  </si>
  <si>
    <t>Ganador partido 53</t>
  </si>
  <si>
    <t>Match 54 Vainqueur</t>
  </si>
  <si>
    <t>Sieger Spiel 54</t>
  </si>
  <si>
    <t>Vincitore partita 54</t>
  </si>
  <si>
    <t>Vencedor Jogo 54</t>
  </si>
  <si>
    <t>Ganador partido 54</t>
  </si>
  <si>
    <t>Match 55 Vainqueur</t>
  </si>
  <si>
    <t>Sieger Spiel 55</t>
  </si>
  <si>
    <t>Vincitore partita 55</t>
  </si>
  <si>
    <t>Vencedor Jogo 55</t>
  </si>
  <si>
    <t>Ganador partido 55</t>
  </si>
  <si>
    <t>Match 56 Vainqueur</t>
  </si>
  <si>
    <t>Sieger Spiel 56</t>
  </si>
  <si>
    <t>Vincitore partita 56</t>
  </si>
  <si>
    <t>Vencedor Jogo 56</t>
  </si>
  <si>
    <t>Ganador partido 56</t>
  </si>
  <si>
    <t>Match 57 Vainqueur</t>
  </si>
  <si>
    <t>Sieger Spiel 57</t>
  </si>
  <si>
    <t>Vincitore partita 57</t>
  </si>
  <si>
    <t>Vencedor Jogo 57</t>
  </si>
  <si>
    <t>Ganador partido 57</t>
  </si>
  <si>
    <t>Match 58 Vainqueur</t>
  </si>
  <si>
    <t>Sieger Spiel 58</t>
  </si>
  <si>
    <t>Vincitore partita 58</t>
  </si>
  <si>
    <t>Vencedor Jogo 58</t>
  </si>
  <si>
    <t>Ganador partido 58</t>
  </si>
  <si>
    <t>Match 59 Vainqueur</t>
  </si>
  <si>
    <t>Sieger Spiel 59</t>
  </si>
  <si>
    <t>Vincitore partita 59</t>
  </si>
  <si>
    <t>Vencedor Jogo 59</t>
  </si>
  <si>
    <t>Ganador partido 59</t>
  </si>
  <si>
    <t>Match 60 Vainqueur</t>
  </si>
  <si>
    <t>Sieger Spiel 60</t>
  </si>
  <si>
    <t>Vincitore partita 60</t>
  </si>
  <si>
    <t>Vencedor Jogo 60</t>
  </si>
  <si>
    <t>Ganador partido 60</t>
  </si>
  <si>
    <t xml:space="preserve">Joué </t>
  </si>
  <si>
    <t>Giocate</t>
  </si>
  <si>
    <t>Jugados</t>
  </si>
  <si>
    <t>Gagné</t>
  </si>
  <si>
    <t>Gewonnen</t>
  </si>
  <si>
    <t>Vinte</t>
  </si>
  <si>
    <t>Vitórias</t>
  </si>
  <si>
    <t>Ganados</t>
  </si>
  <si>
    <t>Nul</t>
  </si>
  <si>
    <t>Unentschieden</t>
  </si>
  <si>
    <t>Pareggiate</t>
  </si>
  <si>
    <t>Empates</t>
  </si>
  <si>
    <t>Empatados</t>
  </si>
  <si>
    <t>Perdu</t>
  </si>
  <si>
    <t>Verloren</t>
  </si>
  <si>
    <t>Perse</t>
  </si>
  <si>
    <t>Derrotas</t>
  </si>
  <si>
    <t>Perdidos</t>
  </si>
  <si>
    <t>But pour</t>
  </si>
  <si>
    <t>Tore</t>
  </si>
  <si>
    <t>Goal segnati</t>
  </si>
  <si>
    <t>Golos Marcados</t>
  </si>
  <si>
    <t>Goles a favor</t>
  </si>
  <si>
    <t>But contre</t>
  </si>
  <si>
    <t>Gegentore</t>
  </si>
  <si>
    <t>Goal subiti</t>
  </si>
  <si>
    <t>Golos Sofridos</t>
  </si>
  <si>
    <t>Goles en contra</t>
  </si>
  <si>
    <t>Punkte</t>
  </si>
  <si>
    <t>Punti</t>
  </si>
  <si>
    <t>Pontos</t>
  </si>
  <si>
    <t>Puntos</t>
  </si>
  <si>
    <t>Deuxième place</t>
  </si>
  <si>
    <t>Zweiter Platz</t>
  </si>
  <si>
    <t>Secondo posto</t>
  </si>
  <si>
    <t>Segundo Lugar</t>
  </si>
  <si>
    <t>Segunda puesto</t>
  </si>
  <si>
    <t>Groupe A</t>
  </si>
  <si>
    <t>Gruppe A</t>
  </si>
  <si>
    <t>Gruppo A</t>
  </si>
  <si>
    <t>Grupo A</t>
  </si>
  <si>
    <t>Groupe B</t>
  </si>
  <si>
    <t>Gruppe B</t>
  </si>
  <si>
    <t>Gruppo B</t>
  </si>
  <si>
    <t>Grupo B</t>
  </si>
  <si>
    <t>Groupe C</t>
  </si>
  <si>
    <t>Gruppe C</t>
  </si>
  <si>
    <t>Gruppo C</t>
  </si>
  <si>
    <t>Grupo C</t>
  </si>
  <si>
    <t>Groupe D</t>
  </si>
  <si>
    <t>Gruppe D</t>
  </si>
  <si>
    <t>Gruppo D</t>
  </si>
  <si>
    <t>Grupo D</t>
  </si>
  <si>
    <t>Match 61 Perdant</t>
  </si>
  <si>
    <t>Verlierer Spiel 61</t>
  </si>
  <si>
    <t>Perdente partita 61</t>
  </si>
  <si>
    <t>Derrotado Jogo 61</t>
  </si>
  <si>
    <t>Perdedor partido 61</t>
  </si>
  <si>
    <t>Match 62 Perdant</t>
  </si>
  <si>
    <t>Verlierer Spiel 62</t>
  </si>
  <si>
    <t>Perdente partita 62</t>
  </si>
  <si>
    <t>Derrotado Jogo 62</t>
  </si>
  <si>
    <t>Perdedor partido 62</t>
  </si>
  <si>
    <t>Lieu</t>
  </si>
  <si>
    <t>Veranstaltungsort</t>
  </si>
  <si>
    <t>Luogo</t>
  </si>
  <si>
    <t>Local</t>
  </si>
  <si>
    <t>Evento</t>
  </si>
  <si>
    <t>Programme et Feuille de match de la Coupe du Monde 2022</t>
  </si>
  <si>
    <t>Weltmeisterschaft 2022 Spielplan und Ergebnisse</t>
  </si>
  <si>
    <t>Coppa del Mondo 2022 programma e risultati</t>
  </si>
  <si>
    <t>Campeonato Mundial 2022 Horários e Resultados</t>
  </si>
  <si>
    <t>Copa del Mundo de 2022, Horario y Puntuaciones</t>
  </si>
  <si>
    <t xml:space="preserve">Champion Coupe du Monde 2022 </t>
  </si>
  <si>
    <t>Weltmeister 2022</t>
  </si>
  <si>
    <t>Campione del Mondo 2022</t>
  </si>
  <si>
    <t>Campeão Mundial 2022</t>
  </si>
  <si>
    <t>Campeón de la Copa del Mundo 2022</t>
  </si>
  <si>
    <t>Won in Group Stages</t>
  </si>
  <si>
    <t>Lose in Group and KO Stages</t>
  </si>
  <si>
    <t>Fill full time scores in column H and I</t>
  </si>
  <si>
    <t>Fill penalty shoot out scores in column L and M</t>
  </si>
  <si>
    <t>Group standings will be calculated automatically based on official FIFA World Cup Tie Breaker regulation</t>
  </si>
  <si>
    <t>Won by KO Rounds</t>
  </si>
  <si>
    <t>Original</t>
  </si>
  <si>
    <t>Language ►</t>
  </si>
  <si>
    <t>Custom Language Translation Title ►</t>
  </si>
  <si>
    <t>◄</t>
  </si>
  <si>
    <t>Select your time preference by adding or subtracting your local time with Qatar time</t>
  </si>
  <si>
    <t>Do not forget to select your Custom Language translation title in cell C5 to translate matches worksheet to your language after you filling all translation rows in column C</t>
  </si>
  <si>
    <t>FIFA World Ranking points for your reference only. Do not need to change.</t>
  </si>
  <si>
    <t>You may need to type FAIR PLAY points if two or more teams in group standings have to go through tie-breaker 7 where their standings is decided by fair play point</t>
  </si>
  <si>
    <t>TIE BREAKER REGULATION</t>
  </si>
  <si>
    <t>Points obtained in all group matches;</t>
  </si>
  <si>
    <t>Goal difference in all group matches;</t>
  </si>
  <si>
    <t>Number of goals scored in all group matches;</t>
  </si>
  <si>
    <t>Points obtained in the matches played between the teams in question;</t>
  </si>
  <si>
    <t>Goal difference in the matches played between the teams in question;</t>
  </si>
  <si>
    <t>Number of goals scored in the matches played between the teams in question;</t>
  </si>
  <si>
    <t>Drawing of lots.</t>
  </si>
  <si>
    <t>The ranking of teams in the group stage is determined as follows:</t>
  </si>
  <si>
    <t>source :</t>
  </si>
  <si>
    <t>BN7</t>
  </si>
  <si>
    <t>BN8</t>
  </si>
  <si>
    <t>BN9</t>
  </si>
  <si>
    <t>BN10</t>
  </si>
  <si>
    <t>BN11</t>
  </si>
  <si>
    <t>BN12</t>
  </si>
  <si>
    <t>BN13</t>
  </si>
  <si>
    <t>BN14</t>
  </si>
  <si>
    <t>BN15</t>
  </si>
  <si>
    <t>BN16</t>
  </si>
  <si>
    <t>BN17</t>
  </si>
  <si>
    <t>BN18</t>
  </si>
  <si>
    <t>BN19</t>
  </si>
  <si>
    <t>BN20</t>
  </si>
  <si>
    <t>BN21</t>
  </si>
  <si>
    <t>BN22</t>
  </si>
  <si>
    <t>BN23</t>
  </si>
  <si>
    <t>BN24</t>
  </si>
  <si>
    <t>BN25</t>
  </si>
  <si>
    <t>BN26</t>
  </si>
  <si>
    <t>BN27</t>
  </si>
  <si>
    <t>BN28</t>
  </si>
  <si>
    <t>BN29</t>
  </si>
  <si>
    <t>BN30</t>
  </si>
  <si>
    <t>BN31</t>
  </si>
  <si>
    <t>BN32</t>
  </si>
  <si>
    <t>BN33</t>
  </si>
  <si>
    <t>BN34</t>
  </si>
  <si>
    <t>BN35</t>
  </si>
  <si>
    <t>BN36</t>
  </si>
  <si>
    <t>BN37</t>
  </si>
  <si>
    <t>BN38</t>
  </si>
  <si>
    <t>MATCHES ARE SORTED BY MATCH TIME NOT MATCH NUMBER</t>
  </si>
  <si>
    <t>matches source reference :</t>
  </si>
  <si>
    <t>DO NOT SORT MATCHES BY MATCH NUMBER. IT WILL BREAK COUNTRY REFERENCE FORMULA</t>
  </si>
  <si>
    <t>Do not change or sort country order. It will break country reference formula</t>
  </si>
  <si>
    <t>Knock Out Rounds</t>
  </si>
  <si>
    <t>LICENSE</t>
  </si>
  <si>
    <t>ABOUT</t>
  </si>
  <si>
    <t>Editiion</t>
  </si>
  <si>
    <t>Version</t>
  </si>
  <si>
    <t>License</t>
  </si>
  <si>
    <t>Single User</t>
  </si>
  <si>
    <t>Product Info</t>
  </si>
  <si>
    <t>https://journalsheet.com</t>
  </si>
  <si>
    <t>Support</t>
  </si>
  <si>
    <t>support@journalsheet.com</t>
  </si>
  <si>
    <t>Copyrights ©</t>
  </si>
  <si>
    <t>2022 | journalSHEET.com</t>
  </si>
  <si>
    <r>
      <t>journal</t>
    </r>
    <r>
      <rPr>
        <b/>
        <sz val="22"/>
        <color rgb="FF00B050"/>
        <rFont val="Calibri"/>
        <family val="2"/>
        <scheme val="minor"/>
      </rPr>
      <t>SHEET</t>
    </r>
    <r>
      <rPr>
        <b/>
        <sz val="22"/>
        <color theme="0"/>
        <rFont val="Calibri"/>
        <family val="2"/>
        <scheme val="minor"/>
      </rPr>
      <t>.com</t>
    </r>
  </si>
  <si>
    <r>
      <t xml:space="preserve">Select your language. There are only 6 translated language. You can translate default English language to your own by typing its translation in column C. </t>
    </r>
    <r>
      <rPr>
        <sz val="11"/>
        <color rgb="FFFF0000"/>
        <rFont val="Calibri"/>
        <family val="2"/>
        <scheme val="minor"/>
      </rPr>
      <t>YOU NEED TO TRANSLATE ALL TEXTS FROM COLUMN B</t>
    </r>
    <r>
      <rPr>
        <sz val="11"/>
        <rFont val="Calibri"/>
        <family val="2"/>
        <scheme val="minor"/>
      </rPr>
      <t xml:space="preserve"> if you want to use your own translation.</t>
    </r>
  </si>
  <si>
    <t>Get more sport spreadsheets in journalSHEET.com</t>
  </si>
  <si>
    <t>Peru</t>
  </si>
  <si>
    <t>Chile</t>
  </si>
  <si>
    <t>Venezuela</t>
  </si>
  <si>
    <t>Jamaica</t>
  </si>
  <si>
    <t>Panama</t>
  </si>
  <si>
    <t>Bolivia</t>
  </si>
  <si>
    <t>Colombia</t>
  </si>
  <si>
    <t>Paraguay</t>
  </si>
  <si>
    <t>Match 25 Winner</t>
  </si>
  <si>
    <t>Match 26 Winner</t>
  </si>
  <si>
    <t>Match 27 Winner</t>
  </si>
  <si>
    <t>Match 28 Winner</t>
  </si>
  <si>
    <t>Match 29 Winner</t>
  </si>
  <si>
    <t>Match 30 Winner</t>
  </si>
  <si>
    <t>Match 31 Winner</t>
  </si>
  <si>
    <t>Match 32 Winner</t>
  </si>
  <si>
    <t>Match 29 Loser</t>
  </si>
  <si>
    <t>Match 30 Loser</t>
  </si>
  <si>
    <t>Copa America 2024 Fixtures</t>
  </si>
  <si>
    <t>Copa America 2024 Champion</t>
  </si>
  <si>
    <t>Copa America 2024 Runner Up</t>
  </si>
  <si>
    <t>Copa America 2024 3rd Place</t>
  </si>
  <si>
    <t>Atlanta, GA (Mercedes-Benz Stadium)</t>
  </si>
  <si>
    <t>Arlington, TX (AT&amp;T Stadium)</t>
  </si>
  <si>
    <t>Santa Clara, CA (Levi's Stadium)</t>
  </si>
  <si>
    <t>Houston, TX (NRG Stadium)</t>
  </si>
  <si>
    <t>Miami, FL (Hard Rock Stadium)</t>
  </si>
  <si>
    <t>Inglewood, CA (SoFi Stadium)</t>
  </si>
  <si>
    <t>Kansas City, KS (Children's Mercy Park)</t>
  </si>
  <si>
    <t>East Rutherford, NJ (MetLife Stadium)</t>
  </si>
  <si>
    <t>Las Vegas, NV (Allegiant Stadium)</t>
  </si>
  <si>
    <t>Glendale, AZ (State Farm Stadium)</t>
  </si>
  <si>
    <t>Orlando, FL (Exploria Stadium)</t>
  </si>
  <si>
    <t>Austin, TX (Q2 Stadium)</t>
  </si>
  <si>
    <t>Kansas City, MO (Arrowhead Stadium)</t>
  </si>
  <si>
    <t>Charlotte, NC (Bank of America Stadium)</t>
  </si>
  <si>
    <t>Hard Rock Stadium (Miami, FL)</t>
  </si>
  <si>
    <t>*as of October 26th, 2023</t>
  </si>
  <si>
    <t>https://copaamerica.com/wp-content/uploads/CA2024-Reglamento_2023.11-ENG.pdf</t>
  </si>
  <si>
    <t>Fewest Red Cards</t>
  </si>
  <si>
    <t>Fewest Yellow Cards</t>
  </si>
  <si>
    <t>Total Yellow or Red Cards</t>
  </si>
  <si>
    <t>https://copaamerica.com/en/match-schedule/</t>
  </si>
  <si>
    <t>Time Difference with US Time ►</t>
  </si>
  <si>
    <t>Canada</t>
  </si>
  <si>
    <t>Costa Rica</t>
  </si>
  <si>
    <t>Perú</t>
  </si>
  <si>
    <t>Canadá</t>
  </si>
  <si>
    <t>México</t>
  </si>
  <si>
    <t>Estados Unidos</t>
  </si>
  <si>
    <t>Panamá</t>
  </si>
  <si>
    <t>Brasil</t>
  </si>
  <si>
    <t>Argentine</t>
  </si>
  <si>
    <t>Pérou</t>
  </si>
  <si>
    <t>Chili</t>
  </si>
  <si>
    <t>Mexique</t>
  </si>
  <si>
    <t>Équateur</t>
  </si>
  <si>
    <t>Jamaïque</t>
  </si>
  <si>
    <t>États-Unis</t>
  </si>
  <si>
    <t>Bolivie</t>
  </si>
  <si>
    <t>Brésil</t>
  </si>
  <si>
    <t>Colombie</t>
  </si>
  <si>
    <t>Argentinien</t>
  </si>
  <si>
    <t>Kanada</t>
  </si>
  <si>
    <t>Mexiko</t>
  </si>
  <si>
    <t>Jamaika</t>
  </si>
  <si>
    <t>USA</t>
  </si>
  <si>
    <t>Bolivien</t>
  </si>
  <si>
    <t>Brasilien</t>
  </si>
  <si>
    <t>Kolumbien</t>
  </si>
  <si>
    <t>Perù</t>
  </si>
  <si>
    <t>Messico</t>
  </si>
  <si>
    <t>Giamaica</t>
  </si>
  <si>
    <t>Stati Uniti d'America</t>
  </si>
  <si>
    <t>Brasile</t>
  </si>
  <si>
    <t>Equador</t>
  </si>
  <si>
    <t>EUA</t>
  </si>
  <si>
    <t>Uruguai</t>
  </si>
  <si>
    <t>Bolívia</t>
  </si>
  <si>
    <t>Colômbia</t>
  </si>
  <si>
    <t>Paraguai</t>
  </si>
  <si>
    <t>COPA AMERICA 2024  FIXTURES</t>
  </si>
  <si>
    <t>FULLY EDITABLE</t>
  </si>
  <si>
    <t>2.53</t>
  </si>
  <si>
    <t>US$ 6.0</t>
  </si>
  <si>
    <t>Musa</t>
  </si>
  <si>
    <t>Click here to purchase the Unprotected Version for your Commercial Purposes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</si>
</sst>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409]d\-mmm;@"/>
    <numFmt numFmtId="165" formatCode="hh:mm;@"/>
    <numFmt numFmtId="166" formatCode="m/d/yy\ h:mm;@"/>
  </numFmts>
  <fonts count="34" x14ac:knownFonts="1">
    <font>
      <sz val="10"/>
      <name val="Arial"/>
      <family val="2"/>
    </font>
    <font>
      <b/>
      <sz val="11"/>
      <color theme="0"/>
      <name val="Calibri"/>
      <family val="2"/>
      <scheme val="minor"/>
    </font>
    <font>
      <sz val="11"/>
      <color rgb="FFFF0000"/>
      <name val="Calibri"/>
      <family val="2"/>
      <scheme val="minor"/>
    </font>
    <font>
      <sz val="11"/>
      <color theme="0"/>
      <name val="Calibri"/>
      <family val="2"/>
      <scheme val="minor"/>
    </font>
    <font>
      <sz val="11"/>
      <name val="Calibri"/>
      <family val="2"/>
      <scheme val="minor"/>
    </font>
    <font>
      <sz val="11"/>
      <color indexed="10"/>
      <name val="Calibri"/>
      <family val="2"/>
      <scheme val="minor"/>
    </font>
    <font>
      <sz val="11"/>
      <color rgb="FFC00000"/>
      <name val="Calibri"/>
      <family val="2"/>
      <scheme val="minor"/>
    </font>
    <font>
      <b/>
      <sz val="28"/>
      <name val="Calibri"/>
      <family val="2"/>
      <scheme val="minor"/>
    </font>
    <font>
      <sz val="10"/>
      <name val="Calibri"/>
      <family val="2"/>
      <scheme val="minor"/>
    </font>
    <font>
      <i/>
      <sz val="11"/>
      <name val="Calibri"/>
      <family val="2"/>
      <scheme val="minor"/>
    </font>
    <font>
      <sz val="10"/>
      <color theme="0"/>
      <name val="Calibri"/>
      <family val="2"/>
      <scheme val="minor"/>
    </font>
    <font>
      <b/>
      <sz val="10"/>
      <color theme="0"/>
      <name val="Calibri"/>
      <family val="2"/>
      <scheme val="minor"/>
    </font>
    <font>
      <b/>
      <sz val="10"/>
      <name val="Calibri"/>
      <family val="2"/>
      <scheme val="minor"/>
    </font>
    <font>
      <sz val="18"/>
      <color theme="0"/>
      <name val="Calibri"/>
      <family val="2"/>
      <scheme val="minor"/>
    </font>
    <font>
      <b/>
      <sz val="11"/>
      <name val="Calibri"/>
      <family val="2"/>
      <scheme val="minor"/>
    </font>
    <font>
      <b/>
      <sz val="11"/>
      <color indexed="9"/>
      <name val="Calibri"/>
      <family val="2"/>
      <scheme val="minor"/>
    </font>
    <font>
      <i/>
      <sz val="11"/>
      <color theme="1" tint="0.499984740745262"/>
      <name val="Calibri"/>
      <family val="2"/>
      <scheme val="minor"/>
    </font>
    <font>
      <b/>
      <sz val="11"/>
      <color theme="5" tint="-0.249977111117893"/>
      <name val="Calibri"/>
      <family val="2"/>
      <scheme val="minor"/>
    </font>
    <font>
      <u/>
      <sz val="10"/>
      <color indexed="12"/>
      <name val="Arial"/>
      <family val="2"/>
    </font>
    <font>
      <sz val="10"/>
      <color rgb="FFFF0000"/>
      <name val="Arial"/>
      <family val="2"/>
    </font>
    <font>
      <b/>
      <sz val="11"/>
      <color rgb="FFFF0000"/>
      <name val="Calibri"/>
      <family val="2"/>
      <scheme val="minor"/>
    </font>
    <font>
      <sz val="10"/>
      <name val="Arial"/>
      <family val="2"/>
    </font>
    <font>
      <b/>
      <sz val="22"/>
      <color theme="0"/>
      <name val="Calibri"/>
      <family val="2"/>
      <scheme val="minor"/>
    </font>
    <font>
      <u/>
      <sz val="11"/>
      <color theme="0"/>
      <name val="Calibri"/>
      <family val="2"/>
      <scheme val="minor"/>
    </font>
    <font>
      <sz val="11"/>
      <color theme="0" tint="-4.9989318521683403E-2"/>
      <name val="Calibri"/>
      <family val="2"/>
      <scheme val="minor"/>
    </font>
    <font>
      <b/>
      <sz val="22"/>
      <color rgb="FF00B050"/>
      <name val="Calibri"/>
      <family val="2"/>
      <scheme val="minor"/>
    </font>
    <font>
      <b/>
      <sz val="12"/>
      <color theme="0"/>
      <name val="Calibri"/>
      <family val="2"/>
      <scheme val="minor"/>
    </font>
    <font>
      <b/>
      <sz val="20"/>
      <name val="Calibri"/>
      <family val="2"/>
      <scheme val="minor"/>
    </font>
    <font>
      <u/>
      <sz val="12"/>
      <color indexed="12"/>
      <name val="Calibri"/>
      <family val="2"/>
      <scheme val="minor"/>
    </font>
    <font>
      <b/>
      <sz val="24"/>
      <name val="Calibri"/>
      <family val="2"/>
      <scheme val="minor"/>
    </font>
    <font>
      <b/>
      <sz val="12"/>
      <name val="Calibri"/>
      <family val="2"/>
      <scheme val="minor"/>
    </font>
    <font>
      <sz val="11"/>
      <color rgb="FF002060"/>
      <name val="Calibri"/>
      <family val="2"/>
      <scheme val="minor"/>
    </font>
    <font>
      <sz val="11"/>
      <color rgb="FF002060"/>
      <name val="Wingdings 3"/>
      <family val="1"/>
      <charset val="2"/>
    </font>
    <font>
      <sz val="10"/>
      <color theme="0"/>
      <name val="Arial"/>
      <family val="2"/>
    </font>
  </fonts>
  <fills count="16">
    <fill>
      <patternFill patternType="none"/>
    </fill>
    <fill>
      <patternFill patternType="gray125"/>
    </fill>
    <fill>
      <patternFill patternType="solid">
        <fgColor theme="5" tint="-0.499984740745262"/>
        <bgColor indexed="64"/>
      </patternFill>
    </fill>
    <fill>
      <patternFill patternType="solid">
        <fgColor theme="5" tint="0.79998168889431442"/>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5"/>
        <bgColor indexed="64"/>
      </patternFill>
    </fill>
    <fill>
      <patternFill patternType="solid">
        <fgColor rgb="FF00B050"/>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bgColor indexed="64"/>
      </patternFill>
    </fill>
    <fill>
      <patternFill patternType="solid">
        <fgColor rgb="FF0070C0"/>
        <bgColor indexed="64"/>
      </patternFill>
    </fill>
    <fill>
      <patternFill patternType="solid">
        <fgColor rgb="FF002060"/>
        <bgColor indexed="64"/>
      </patternFill>
    </fill>
    <fill>
      <patternFill patternType="solid">
        <fgColor rgb="FFC00000"/>
        <bgColor indexed="64"/>
      </patternFill>
    </fill>
  </fills>
  <borders count="34">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style="thin">
        <color indexed="64"/>
      </right>
      <top/>
      <bottom/>
      <diagonal/>
    </border>
    <border>
      <left/>
      <right/>
      <top style="thin">
        <color theme="8" tint="-0.499984740745262"/>
      </top>
      <bottom/>
      <diagonal/>
    </border>
    <border>
      <left/>
      <right style="thin">
        <color indexed="64"/>
      </right>
      <top style="thin">
        <color theme="8" tint="-0.499984740745262"/>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top/>
      <bottom style="medium">
        <color indexed="64"/>
      </bottom>
      <diagonal/>
    </border>
    <border>
      <left style="double">
        <color theme="5" tint="-0.499984740745262"/>
      </left>
      <right/>
      <top style="double">
        <color theme="5" tint="-0.499984740745262"/>
      </top>
      <bottom/>
      <diagonal/>
    </border>
    <border>
      <left/>
      <right/>
      <top style="double">
        <color theme="5" tint="-0.499984740745262"/>
      </top>
      <bottom/>
      <diagonal/>
    </border>
    <border>
      <left/>
      <right style="double">
        <color theme="5" tint="-0.499984740745262"/>
      </right>
      <top style="double">
        <color theme="5" tint="-0.499984740745262"/>
      </top>
      <bottom/>
      <diagonal/>
    </border>
    <border>
      <left style="double">
        <color theme="5" tint="-0.499984740745262"/>
      </left>
      <right/>
      <top/>
      <bottom/>
      <diagonal/>
    </border>
    <border>
      <left/>
      <right style="double">
        <color theme="5" tint="-0.499984740745262"/>
      </right>
      <top/>
      <bottom/>
      <diagonal/>
    </border>
    <border>
      <left style="double">
        <color theme="5" tint="-0.499984740745262"/>
      </left>
      <right/>
      <top/>
      <bottom style="double">
        <color theme="5" tint="-0.499984740745262"/>
      </bottom>
      <diagonal/>
    </border>
    <border>
      <left/>
      <right/>
      <top/>
      <bottom style="double">
        <color theme="5" tint="-0.499984740745262"/>
      </bottom>
      <diagonal/>
    </border>
    <border>
      <left/>
      <right style="double">
        <color theme="5" tint="-0.499984740745262"/>
      </right>
      <top/>
      <bottom style="double">
        <color theme="5" tint="-0.499984740745262"/>
      </bottom>
      <diagonal/>
    </border>
    <border>
      <left/>
      <right style="thin">
        <color theme="0" tint="-4.9989318521683403E-2"/>
      </right>
      <top style="thin">
        <color theme="0" tint="-4.9989318521683403E-2"/>
      </top>
      <bottom style="thin">
        <color theme="0" tint="-4.9989318521683403E-2"/>
      </bottom>
      <diagonal/>
    </border>
    <border>
      <left style="thin">
        <color theme="0" tint="-4.9989318521683403E-2"/>
      </left>
      <right/>
      <top style="thin">
        <color theme="0" tint="-4.9989318521683403E-2"/>
      </top>
      <bottom style="thin">
        <color theme="0" tint="-4.9989318521683403E-2"/>
      </bottom>
      <diagonal/>
    </border>
    <border>
      <left/>
      <right style="thin">
        <color theme="0" tint="-4.9989318521683403E-2"/>
      </right>
      <top/>
      <bottom style="thin">
        <color theme="0" tint="-4.9989318521683403E-2"/>
      </bottom>
      <diagonal/>
    </border>
    <border>
      <left style="thin">
        <color theme="0" tint="-4.9989318521683403E-2"/>
      </left>
      <right/>
      <top/>
      <bottom style="thin">
        <color theme="0" tint="-4.9989318521683403E-2"/>
      </bottom>
      <diagonal/>
    </border>
    <border>
      <left/>
      <right style="thin">
        <color theme="0" tint="-4.9989318521683403E-2"/>
      </right>
      <top style="thin">
        <color theme="0" tint="-4.9989318521683403E-2"/>
      </top>
      <bottom style="thin">
        <color indexed="64"/>
      </bottom>
      <diagonal/>
    </border>
    <border>
      <left style="thin">
        <color theme="0" tint="-4.9989318521683403E-2"/>
      </left>
      <right/>
      <top style="thin">
        <color theme="0" tint="-4.9989318521683403E-2"/>
      </top>
      <bottom style="thin">
        <color indexed="64"/>
      </bottom>
      <diagonal/>
    </border>
    <border>
      <left/>
      <right style="thin">
        <color theme="0" tint="-4.9989318521683403E-2"/>
      </right>
      <top/>
      <bottom style="thin">
        <color indexed="64"/>
      </bottom>
      <diagonal/>
    </border>
    <border>
      <left style="thin">
        <color theme="0" tint="-4.9989318521683403E-2"/>
      </left>
      <right/>
      <top/>
      <bottom style="thin">
        <color indexed="64"/>
      </bottom>
      <diagonal/>
    </border>
    <border>
      <left/>
      <right style="thin">
        <color theme="0" tint="-4.9989318521683403E-2"/>
      </right>
      <top style="thin">
        <color indexed="64"/>
      </top>
      <bottom style="thin">
        <color indexed="64"/>
      </bottom>
      <diagonal/>
    </border>
    <border>
      <left style="thin">
        <color theme="0" tint="-4.9989318521683403E-2"/>
      </left>
      <right/>
      <top style="thin">
        <color indexed="64"/>
      </top>
      <bottom style="thin">
        <color indexed="64"/>
      </bottom>
      <diagonal/>
    </border>
  </borders>
  <cellStyleXfs count="3">
    <xf numFmtId="0" fontId="0" fillId="0" borderId="0"/>
    <xf numFmtId="0" fontId="18" fillId="0" borderId="0" applyNumberFormat="0" applyFill="0" applyBorder="0" applyAlignment="0" applyProtection="0">
      <alignment vertical="top"/>
      <protection locked="0"/>
    </xf>
    <xf numFmtId="0" fontId="21" fillId="0" borderId="0"/>
  </cellStyleXfs>
  <cellXfs count="232">
    <xf numFmtId="0" fontId="0" fillId="0" borderId="0" xfId="0"/>
    <xf numFmtId="0" fontId="6" fillId="2" borderId="0" xfId="0" applyFont="1" applyFill="1" applyProtection="1">
      <protection hidden="1"/>
    </xf>
    <xf numFmtId="0" fontId="4" fillId="0" borderId="0" xfId="0" applyFont="1" applyAlignment="1" applyProtection="1">
      <alignment vertical="center"/>
      <protection hidden="1"/>
    </xf>
    <xf numFmtId="0" fontId="7" fillId="0" borderId="0" xfId="0" applyFont="1" applyAlignment="1" applyProtection="1">
      <alignment horizontal="left" vertical="center"/>
      <protection hidden="1"/>
    </xf>
    <xf numFmtId="0" fontId="4" fillId="0" borderId="0" xfId="0" applyFont="1" applyAlignment="1" applyProtection="1">
      <alignment vertical="center" wrapText="1"/>
      <protection hidden="1"/>
    </xf>
    <xf numFmtId="0" fontId="4" fillId="0" borderId="0" xfId="0" applyFont="1" applyAlignment="1" applyProtection="1">
      <alignment horizontal="right" vertical="center" indent="1"/>
      <protection hidden="1"/>
    </xf>
    <xf numFmtId="0" fontId="4" fillId="0" borderId="0" xfId="0" applyFont="1" applyAlignment="1" applyProtection="1">
      <alignment horizontal="left" vertical="center" indent="1"/>
      <protection hidden="1"/>
    </xf>
    <xf numFmtId="0" fontId="8" fillId="0" borderId="0" xfId="0" applyFont="1" applyAlignment="1" applyProtection="1">
      <alignment vertical="center"/>
      <protection hidden="1"/>
    </xf>
    <xf numFmtId="0" fontId="6" fillId="0" borderId="0" xfId="0" applyFont="1" applyAlignment="1" applyProtection="1">
      <alignment vertical="center"/>
      <protection hidden="1"/>
    </xf>
    <xf numFmtId="0" fontId="6" fillId="0" borderId="0" xfId="0" applyFont="1" applyAlignment="1" applyProtection="1">
      <alignment horizontal="left" vertical="center" indent="1"/>
      <protection hidden="1"/>
    </xf>
    <xf numFmtId="0" fontId="3" fillId="0" borderId="0" xfId="0" applyFont="1" applyAlignment="1" applyProtection="1">
      <alignment horizontal="center" vertical="center"/>
      <protection hidden="1"/>
    </xf>
    <xf numFmtId="0" fontId="2" fillId="0" borderId="0" xfId="0" applyFont="1" applyAlignment="1" applyProtection="1">
      <alignment vertical="center"/>
      <protection hidden="1"/>
    </xf>
    <xf numFmtId="0" fontId="5" fillId="0" borderId="0" xfId="0" applyFont="1" applyAlignment="1" applyProtection="1">
      <alignment vertical="center"/>
      <protection hidden="1"/>
    </xf>
    <xf numFmtId="0" fontId="4" fillId="0" borderId="0" xfId="0" applyFont="1" applyAlignment="1" applyProtection="1">
      <alignment horizontal="center" vertical="center"/>
      <protection hidden="1"/>
    </xf>
    <xf numFmtId="0" fontId="4" fillId="0" borderId="1" xfId="0" applyFont="1" applyBorder="1" applyAlignment="1" applyProtection="1">
      <alignment vertical="center"/>
      <protection locked="0"/>
    </xf>
    <xf numFmtId="0" fontId="1" fillId="0" borderId="0" xfId="0" applyFont="1" applyAlignment="1" applyProtection="1">
      <alignment vertical="center"/>
      <protection hidden="1"/>
    </xf>
    <xf numFmtId="0" fontId="4" fillId="0" borderId="1" xfId="0" applyFont="1" applyBorder="1" applyAlignment="1" applyProtection="1">
      <alignment horizontal="left" vertical="center" indent="1"/>
      <protection hidden="1"/>
    </xf>
    <xf numFmtId="0" fontId="4" fillId="0" borderId="1" xfId="0" applyFont="1" applyBorder="1" applyAlignment="1" applyProtection="1">
      <alignment horizontal="center" vertical="center"/>
      <protection locked="0"/>
    </xf>
    <xf numFmtId="0" fontId="9" fillId="0" borderId="0" xfId="0" applyFont="1" applyAlignment="1" applyProtection="1">
      <alignment horizontal="left" vertical="center"/>
      <protection hidden="1"/>
    </xf>
    <xf numFmtId="0" fontId="7" fillId="0" borderId="0" xfId="0" applyFont="1" applyAlignment="1" applyProtection="1">
      <alignment vertical="center"/>
      <protection hidden="1"/>
    </xf>
    <xf numFmtId="0" fontId="10" fillId="0" borderId="0" xfId="0" applyFont="1" applyAlignment="1" applyProtection="1">
      <alignment vertical="center"/>
      <protection hidden="1"/>
    </xf>
    <xf numFmtId="0" fontId="3" fillId="0" borderId="0" xfId="0" applyFont="1" applyAlignment="1" applyProtection="1">
      <alignment vertical="center"/>
      <protection hidden="1"/>
    </xf>
    <xf numFmtId="0" fontId="3" fillId="0" borderId="0" xfId="0" applyFont="1" applyProtection="1">
      <protection hidden="1"/>
    </xf>
    <xf numFmtId="0" fontId="5" fillId="0" borderId="0" xfId="0" applyFont="1" applyProtection="1">
      <protection hidden="1"/>
    </xf>
    <xf numFmtId="0" fontId="4" fillId="3" borderId="0" xfId="0" applyFont="1" applyFill="1" applyAlignment="1" applyProtection="1">
      <alignment horizontal="center" vertical="center"/>
      <protection hidden="1"/>
    </xf>
    <xf numFmtId="0" fontId="4" fillId="0" borderId="4" xfId="0" applyFont="1" applyBorder="1" applyAlignment="1" applyProtection="1">
      <alignment horizontal="center" vertical="center"/>
      <protection hidden="1"/>
    </xf>
    <xf numFmtId="164" fontId="4" fillId="0" borderId="4" xfId="0" applyNumberFormat="1" applyFont="1" applyBorder="1" applyAlignment="1" applyProtection="1">
      <alignment horizontal="right" vertical="center" wrapText="1" shrinkToFit="1"/>
      <protection hidden="1"/>
    </xf>
    <xf numFmtId="165" fontId="4" fillId="0" borderId="4" xfId="0" applyNumberFormat="1" applyFont="1" applyBorder="1" applyAlignment="1" applyProtection="1">
      <alignment horizontal="center" vertical="center"/>
      <protection hidden="1"/>
    </xf>
    <xf numFmtId="0" fontId="4" fillId="0" borderId="4" xfId="0" applyFont="1" applyBorder="1" applyAlignment="1" applyProtection="1">
      <alignment horizontal="right" vertical="center"/>
      <protection hidden="1"/>
    </xf>
    <xf numFmtId="0" fontId="4" fillId="0" borderId="4" xfId="0" applyFont="1" applyBorder="1" applyAlignment="1" applyProtection="1">
      <alignment vertical="center"/>
      <protection hidden="1"/>
    </xf>
    <xf numFmtId="0" fontId="4" fillId="5" borderId="0" xfId="0" applyFont="1" applyFill="1" applyAlignment="1" applyProtection="1">
      <alignment horizontal="center" vertical="center"/>
      <protection hidden="1"/>
    </xf>
    <xf numFmtId="16" fontId="4" fillId="5" borderId="0" xfId="0" applyNumberFormat="1" applyFont="1" applyFill="1" applyAlignment="1" applyProtection="1">
      <alignment horizontal="right" vertical="center" wrapText="1" shrinkToFit="1"/>
      <protection hidden="1"/>
    </xf>
    <xf numFmtId="165" fontId="4" fillId="5" borderId="0" xfId="0" applyNumberFormat="1" applyFont="1" applyFill="1" applyAlignment="1" applyProtection="1">
      <alignment horizontal="center" vertical="center"/>
      <protection hidden="1"/>
    </xf>
    <xf numFmtId="0" fontId="4" fillId="5" borderId="0" xfId="0" applyFont="1" applyFill="1" applyAlignment="1" applyProtection="1">
      <alignment horizontal="right" vertical="center"/>
      <protection hidden="1"/>
    </xf>
    <xf numFmtId="0" fontId="4" fillId="5" borderId="0" xfId="0" applyFont="1" applyFill="1" applyAlignment="1" applyProtection="1">
      <alignment vertical="center"/>
      <protection hidden="1"/>
    </xf>
    <xf numFmtId="16" fontId="4" fillId="0" borderId="0" xfId="0" applyNumberFormat="1" applyFont="1" applyAlignment="1" applyProtection="1">
      <alignment horizontal="right" vertical="center" wrapText="1" shrinkToFit="1"/>
      <protection hidden="1"/>
    </xf>
    <xf numFmtId="165" fontId="4" fillId="0" borderId="0" xfId="0" applyNumberFormat="1" applyFont="1" applyAlignment="1" applyProtection="1">
      <alignment horizontal="center" vertical="center"/>
      <protection hidden="1"/>
    </xf>
    <xf numFmtId="0" fontId="4" fillId="0" borderId="0" xfId="0" applyFont="1" applyAlignment="1" applyProtection="1">
      <alignment horizontal="right" vertical="center"/>
      <protection hidden="1"/>
    </xf>
    <xf numFmtId="0" fontId="8" fillId="0" borderId="0" xfId="0" applyFont="1" applyAlignment="1" applyProtection="1">
      <alignment horizontal="center" vertical="center"/>
      <protection hidden="1"/>
    </xf>
    <xf numFmtId="0" fontId="8" fillId="0" borderId="0" xfId="0" applyFont="1" applyAlignment="1" applyProtection="1">
      <alignment horizontal="left" vertical="center"/>
      <protection locked="0" hidden="1"/>
    </xf>
    <xf numFmtId="0" fontId="8" fillId="0" borderId="0" xfId="0" applyFont="1" applyAlignment="1" applyProtection="1">
      <alignment horizontal="left" vertical="center"/>
      <protection hidden="1"/>
    </xf>
    <xf numFmtId="164" fontId="4" fillId="0" borderId="0" xfId="0" applyNumberFormat="1" applyFont="1" applyAlignment="1" applyProtection="1">
      <alignment horizontal="right" vertical="center" wrapText="1" shrinkToFit="1"/>
      <protection hidden="1"/>
    </xf>
    <xf numFmtId="0" fontId="4" fillId="3" borderId="9" xfId="0" applyFont="1" applyFill="1" applyBorder="1" applyAlignment="1" applyProtection="1">
      <alignment horizontal="center" vertical="center"/>
      <protection hidden="1"/>
    </xf>
    <xf numFmtId="0" fontId="4" fillId="3" borderId="11" xfId="0" applyFont="1" applyFill="1" applyBorder="1" applyAlignment="1" applyProtection="1">
      <alignment horizontal="center" vertical="center"/>
      <protection hidden="1"/>
    </xf>
    <xf numFmtId="0" fontId="4" fillId="5" borderId="0" xfId="0" applyFont="1" applyFill="1" applyAlignment="1" applyProtection="1">
      <alignment horizontal="right"/>
      <protection hidden="1"/>
    </xf>
    <xf numFmtId="0" fontId="4" fillId="3" borderId="12" xfId="0" applyFont="1" applyFill="1" applyBorder="1" applyAlignment="1" applyProtection="1">
      <alignment horizontal="center" vertical="center"/>
      <protection hidden="1"/>
    </xf>
    <xf numFmtId="0" fontId="4" fillId="0" borderId="0" xfId="0" applyFont="1" applyProtection="1">
      <protection hidden="1"/>
    </xf>
    <xf numFmtId="0" fontId="4" fillId="3" borderId="6" xfId="0" applyFont="1" applyFill="1" applyBorder="1" applyAlignment="1" applyProtection="1">
      <alignment horizontal="center" vertical="center"/>
      <protection hidden="1"/>
    </xf>
    <xf numFmtId="16" fontId="4" fillId="5" borderId="7" xfId="0" applyNumberFormat="1" applyFont="1" applyFill="1" applyBorder="1" applyAlignment="1" applyProtection="1">
      <alignment horizontal="right" vertical="center" wrapText="1" shrinkToFit="1"/>
      <protection hidden="1"/>
    </xf>
    <xf numFmtId="165" fontId="4" fillId="5" borderId="7" xfId="0" applyNumberFormat="1" applyFont="1" applyFill="1" applyBorder="1" applyAlignment="1" applyProtection="1">
      <alignment horizontal="center" vertical="center"/>
      <protection hidden="1"/>
    </xf>
    <xf numFmtId="0" fontId="4" fillId="5" borderId="7" xfId="0" applyFont="1" applyFill="1" applyBorder="1" applyAlignment="1" applyProtection="1">
      <alignment horizontal="right" vertical="center"/>
      <protection hidden="1"/>
    </xf>
    <xf numFmtId="0" fontId="4" fillId="5" borderId="7" xfId="0" applyFont="1" applyFill="1" applyBorder="1" applyAlignment="1" applyProtection="1">
      <alignment horizontal="right"/>
      <protection hidden="1"/>
    </xf>
    <xf numFmtId="0" fontId="4" fillId="5" borderId="7" xfId="0" applyFont="1" applyFill="1" applyBorder="1" applyAlignment="1" applyProtection="1">
      <alignment vertical="center"/>
      <protection hidden="1"/>
    </xf>
    <xf numFmtId="0" fontId="15" fillId="0" borderId="0" xfId="0" applyFont="1" applyAlignment="1" applyProtection="1">
      <alignment vertical="center"/>
      <protection hidden="1"/>
    </xf>
    <xf numFmtId="0" fontId="14" fillId="0" borderId="0" xfId="0" applyFont="1" applyProtection="1">
      <protection hidden="1"/>
    </xf>
    <xf numFmtId="0" fontId="4" fillId="0" borderId="0" xfId="0" applyFont="1" applyAlignment="1" applyProtection="1">
      <alignment wrapText="1"/>
      <protection hidden="1"/>
    </xf>
    <xf numFmtId="0" fontId="4" fillId="0" borderId="0" xfId="0" applyFont="1" applyAlignment="1" applyProtection="1">
      <alignment horizontal="right" indent="1"/>
      <protection hidden="1"/>
    </xf>
    <xf numFmtId="0" fontId="4" fillId="0" borderId="0" xfId="0" applyFont="1" applyAlignment="1" applyProtection="1">
      <alignment horizontal="left" indent="1"/>
      <protection hidden="1"/>
    </xf>
    <xf numFmtId="0" fontId="6" fillId="0" borderId="0" xfId="0" applyFont="1" applyProtection="1">
      <protection hidden="1"/>
    </xf>
    <xf numFmtId="0" fontId="16" fillId="0" borderId="0" xfId="0" applyFont="1" applyProtection="1">
      <protection hidden="1"/>
    </xf>
    <xf numFmtId="0" fontId="17" fillId="0" borderId="0" xfId="0" applyFont="1" applyProtection="1">
      <protection hidden="1"/>
    </xf>
    <xf numFmtId="0" fontId="4" fillId="0" borderId="0" xfId="0" applyFont="1" applyAlignment="1" applyProtection="1">
      <alignment horizontal="right"/>
      <protection hidden="1"/>
    </xf>
    <xf numFmtId="0" fontId="4" fillId="3" borderId="1" xfId="0" applyFont="1" applyFill="1" applyBorder="1" applyAlignment="1" applyProtection="1">
      <alignment horizontal="center" vertical="center"/>
      <protection hidden="1"/>
    </xf>
    <xf numFmtId="0" fontId="4" fillId="3" borderId="1" xfId="0" applyFont="1" applyFill="1" applyBorder="1" applyAlignment="1" applyProtection="1">
      <alignment vertical="center"/>
      <protection locked="0"/>
    </xf>
    <xf numFmtId="0" fontId="4" fillId="2" borderId="0" xfId="0" applyFont="1" applyFill="1" applyAlignment="1" applyProtection="1">
      <alignment vertical="center"/>
      <protection hidden="1"/>
    </xf>
    <xf numFmtId="0" fontId="4" fillId="0" borderId="14" xfId="0" applyFont="1" applyBorder="1" applyAlignment="1" applyProtection="1">
      <alignment horizontal="center" vertical="center"/>
      <protection locked="0"/>
    </xf>
    <xf numFmtId="0" fontId="0" fillId="0" borderId="0" xfId="0" applyAlignment="1">
      <alignment vertical="center"/>
    </xf>
    <xf numFmtId="0" fontId="19" fillId="0" borderId="0" xfId="0" applyFont="1" applyAlignment="1">
      <alignment vertical="center"/>
    </xf>
    <xf numFmtId="0" fontId="14" fillId="0" borderId="15" xfId="0" applyFont="1" applyBorder="1" applyAlignment="1" applyProtection="1">
      <alignment vertical="center"/>
      <protection hidden="1"/>
    </xf>
    <xf numFmtId="0" fontId="4" fillId="0" borderId="15" xfId="0" applyFont="1" applyBorder="1" applyAlignment="1" applyProtection="1">
      <alignment vertical="center"/>
      <protection hidden="1"/>
    </xf>
    <xf numFmtId="0" fontId="9" fillId="0" borderId="15" xfId="0" applyFont="1" applyBorder="1" applyAlignment="1" applyProtection="1">
      <alignment horizontal="right" vertical="center"/>
      <protection hidden="1"/>
    </xf>
    <xf numFmtId="0" fontId="6" fillId="2" borderId="0" xfId="0" applyFont="1" applyFill="1" applyAlignment="1" applyProtection="1">
      <alignment vertical="center"/>
      <protection hidden="1"/>
    </xf>
    <xf numFmtId="0" fontId="14" fillId="0" borderId="0" xfId="0" applyFont="1" applyAlignment="1" applyProtection="1">
      <alignment vertical="center"/>
      <protection hidden="1"/>
    </xf>
    <xf numFmtId="0" fontId="9" fillId="0" borderId="0" xfId="0" applyFont="1" applyAlignment="1" applyProtection="1">
      <alignment vertical="center"/>
      <protection hidden="1"/>
    </xf>
    <xf numFmtId="0" fontId="20" fillId="0" borderId="0" xfId="0" applyFont="1" applyAlignment="1" applyProtection="1">
      <alignment vertical="center"/>
      <protection hidden="1"/>
    </xf>
    <xf numFmtId="0" fontId="12" fillId="8" borderId="0" xfId="0" applyFont="1" applyFill="1" applyAlignment="1" applyProtection="1">
      <alignment horizontal="center" vertical="center"/>
      <protection hidden="1"/>
    </xf>
    <xf numFmtId="0" fontId="12" fillId="8" borderId="0" xfId="0" applyFont="1" applyFill="1" applyAlignment="1" applyProtection="1">
      <alignment horizontal="left" vertical="center"/>
      <protection locked="0" hidden="1"/>
    </xf>
    <xf numFmtId="0" fontId="12" fillId="9" borderId="0" xfId="0" applyFont="1" applyFill="1" applyAlignment="1" applyProtection="1">
      <alignment horizontal="center" vertical="center"/>
      <protection hidden="1"/>
    </xf>
    <xf numFmtId="0" fontId="12" fillId="9" borderId="0" xfId="0" applyFont="1" applyFill="1" applyAlignment="1" applyProtection="1">
      <alignment horizontal="left" vertical="center"/>
      <protection locked="0" hidden="1"/>
    </xf>
    <xf numFmtId="0" fontId="12" fillId="10" borderId="0" xfId="0" applyFont="1" applyFill="1" applyAlignment="1" applyProtection="1">
      <alignment horizontal="center" vertical="center"/>
      <protection hidden="1"/>
    </xf>
    <xf numFmtId="0" fontId="12" fillId="10" borderId="0" xfId="0" applyFont="1" applyFill="1" applyAlignment="1" applyProtection="1">
      <alignment horizontal="left" vertical="center"/>
      <protection locked="0" hidden="1"/>
    </xf>
    <xf numFmtId="0" fontId="12" fillId="11" borderId="0" xfId="0" applyFont="1" applyFill="1" applyAlignment="1" applyProtection="1">
      <alignment horizontal="center" vertical="center"/>
      <protection hidden="1"/>
    </xf>
    <xf numFmtId="0" fontId="12" fillId="11" borderId="0" xfId="0" applyFont="1" applyFill="1" applyAlignment="1" applyProtection="1">
      <alignment horizontal="left" vertical="center"/>
      <protection locked="0" hidden="1"/>
    </xf>
    <xf numFmtId="16" fontId="4" fillId="0" borderId="2" xfId="0" applyNumberFormat="1" applyFont="1" applyBorder="1" applyAlignment="1" applyProtection="1">
      <alignment horizontal="right" vertical="center" wrapText="1" shrinkToFit="1"/>
      <protection hidden="1"/>
    </xf>
    <xf numFmtId="165" fontId="4" fillId="0" borderId="2" xfId="0" applyNumberFormat="1" applyFont="1" applyBorder="1" applyAlignment="1" applyProtection="1">
      <alignment horizontal="center" vertical="center"/>
      <protection hidden="1"/>
    </xf>
    <xf numFmtId="0" fontId="4" fillId="0" borderId="2" xfId="0" applyFont="1" applyBorder="1" applyAlignment="1" applyProtection="1">
      <alignment horizontal="right" vertical="center"/>
      <protection hidden="1"/>
    </xf>
    <xf numFmtId="0" fontId="4" fillId="0" borderId="2" xfId="0" applyFont="1" applyBorder="1" applyAlignment="1" applyProtection="1">
      <alignment horizontal="right"/>
      <protection hidden="1"/>
    </xf>
    <xf numFmtId="0" fontId="4" fillId="0" borderId="2" xfId="0" applyFont="1" applyBorder="1" applyAlignment="1" applyProtection="1">
      <alignment vertical="center"/>
      <protection hidden="1"/>
    </xf>
    <xf numFmtId="16" fontId="4" fillId="0" borderId="7" xfId="0" applyNumberFormat="1" applyFont="1" applyBorder="1" applyAlignment="1" applyProtection="1">
      <alignment horizontal="right" vertical="center" wrapText="1" shrinkToFit="1"/>
      <protection hidden="1"/>
    </xf>
    <xf numFmtId="165" fontId="4" fillId="0" borderId="7" xfId="0" applyNumberFormat="1" applyFont="1" applyBorder="1" applyAlignment="1" applyProtection="1">
      <alignment horizontal="center" vertical="center"/>
      <protection hidden="1"/>
    </xf>
    <xf numFmtId="0" fontId="4" fillId="0" borderId="7" xfId="0" applyFont="1" applyBorder="1" applyAlignment="1" applyProtection="1">
      <alignment horizontal="right" vertical="center"/>
      <protection hidden="1"/>
    </xf>
    <xf numFmtId="0" fontId="4" fillId="0" borderId="7" xfId="0" applyFont="1" applyBorder="1" applyAlignment="1" applyProtection="1">
      <alignment horizontal="right"/>
      <protection hidden="1"/>
    </xf>
    <xf numFmtId="0" fontId="4" fillId="0" borderId="7" xfId="0" applyFont="1" applyBorder="1" applyAlignment="1" applyProtection="1">
      <alignment vertical="center"/>
      <protection hidden="1"/>
    </xf>
    <xf numFmtId="0" fontId="3" fillId="12" borderId="0" xfId="0" applyFont="1" applyFill="1"/>
    <xf numFmtId="0" fontId="1" fillId="12" borderId="0" xfId="2" applyFont="1" applyFill="1" applyAlignment="1">
      <alignment vertical="center"/>
    </xf>
    <xf numFmtId="0" fontId="22" fillId="12" borderId="0" xfId="0" applyFont="1" applyFill="1"/>
    <xf numFmtId="0" fontId="1" fillId="12" borderId="0" xfId="0" applyFont="1" applyFill="1" applyAlignment="1">
      <alignment vertical="center"/>
    </xf>
    <xf numFmtId="0" fontId="1" fillId="12" borderId="0" xfId="0" applyFont="1" applyFill="1"/>
    <xf numFmtId="0" fontId="0" fillId="12" borderId="0" xfId="0" applyFill="1"/>
    <xf numFmtId="0" fontId="3" fillId="12" borderId="0" xfId="0" quotePrefix="1" applyFont="1" applyFill="1" applyAlignment="1">
      <alignment horizontal="left"/>
    </xf>
    <xf numFmtId="0" fontId="23" fillId="12" borderId="0" xfId="0" applyFont="1" applyFill="1"/>
    <xf numFmtId="0" fontId="23" fillId="12" borderId="0" xfId="1" applyFont="1" applyFill="1" applyBorder="1" applyAlignment="1" applyProtection="1"/>
    <xf numFmtId="0" fontId="24" fillId="12" borderId="0" xfId="0" applyFont="1" applyFill="1" applyAlignment="1">
      <alignment horizontal="left"/>
    </xf>
    <xf numFmtId="0" fontId="8" fillId="0" borderId="0" xfId="0" applyFont="1"/>
    <xf numFmtId="0" fontId="8" fillId="0" borderId="16" xfId="0" applyFont="1" applyBorder="1"/>
    <xf numFmtId="0" fontId="8" fillId="0" borderId="17" xfId="0" applyFont="1" applyBorder="1"/>
    <xf numFmtId="0" fontId="8" fillId="0" borderId="18" xfId="0" applyFont="1" applyBorder="1"/>
    <xf numFmtId="0" fontId="8" fillId="0" borderId="19" xfId="0" applyFont="1" applyBorder="1"/>
    <xf numFmtId="0" fontId="8" fillId="0" borderId="20" xfId="0" applyFont="1" applyBorder="1"/>
    <xf numFmtId="0" fontId="8" fillId="3" borderId="19" xfId="0" applyFont="1" applyFill="1" applyBorder="1"/>
    <xf numFmtId="0" fontId="8" fillId="3" borderId="20" xfId="0" applyFont="1" applyFill="1" applyBorder="1"/>
    <xf numFmtId="0" fontId="8" fillId="3" borderId="21" xfId="0" applyFont="1" applyFill="1" applyBorder="1"/>
    <xf numFmtId="0" fontId="8" fillId="3" borderId="23" xfId="0" applyFont="1" applyFill="1" applyBorder="1"/>
    <xf numFmtId="0" fontId="4" fillId="4" borderId="24" xfId="0" applyFont="1" applyFill="1" applyBorder="1" applyAlignment="1" applyProtection="1">
      <alignment horizontal="center" vertical="center"/>
      <protection locked="0"/>
    </xf>
    <xf numFmtId="0" fontId="4" fillId="4" borderId="25" xfId="0" applyFont="1" applyFill="1" applyBorder="1" applyAlignment="1" applyProtection="1">
      <alignment horizontal="center" vertical="center"/>
      <protection locked="0"/>
    </xf>
    <xf numFmtId="0" fontId="4" fillId="4" borderId="26" xfId="0" applyFont="1" applyFill="1" applyBorder="1" applyAlignment="1" applyProtection="1">
      <alignment horizontal="center" vertical="center"/>
      <protection locked="0"/>
    </xf>
    <xf numFmtId="0" fontId="4" fillId="4" borderId="27" xfId="0" applyFont="1" applyFill="1" applyBorder="1" applyAlignment="1" applyProtection="1">
      <alignment horizontal="center" vertical="center"/>
      <protection locked="0"/>
    </xf>
    <xf numFmtId="0" fontId="4" fillId="4" borderId="28" xfId="0" applyFont="1" applyFill="1" applyBorder="1" applyAlignment="1" applyProtection="1">
      <alignment horizontal="center" vertical="center"/>
      <protection locked="0"/>
    </xf>
    <xf numFmtId="0" fontId="4" fillId="4" borderId="29" xfId="0" applyFont="1" applyFill="1" applyBorder="1" applyAlignment="1" applyProtection="1">
      <alignment horizontal="center" vertical="center"/>
      <protection locked="0"/>
    </xf>
    <xf numFmtId="0" fontId="4" fillId="4" borderId="30" xfId="0" applyFont="1" applyFill="1" applyBorder="1" applyAlignment="1" applyProtection="1">
      <alignment horizontal="center" vertical="center"/>
      <protection locked="0"/>
    </xf>
    <xf numFmtId="0" fontId="4" fillId="4" borderId="31" xfId="0" applyFont="1" applyFill="1" applyBorder="1" applyAlignment="1" applyProtection="1">
      <alignment horizontal="center" vertical="center"/>
      <protection locked="0"/>
    </xf>
    <xf numFmtId="0" fontId="4" fillId="4" borderId="32" xfId="0" applyFont="1" applyFill="1" applyBorder="1" applyAlignment="1" applyProtection="1">
      <alignment horizontal="center" vertical="center"/>
      <protection locked="0"/>
    </xf>
    <xf numFmtId="0" fontId="4" fillId="4" borderId="33" xfId="0" applyFont="1" applyFill="1" applyBorder="1" applyAlignment="1" applyProtection="1">
      <alignment horizontal="center" vertical="center"/>
      <protection locked="0"/>
    </xf>
    <xf numFmtId="0" fontId="4" fillId="5" borderId="24" xfId="0" applyFont="1" applyFill="1" applyBorder="1" applyAlignment="1" applyProtection="1">
      <alignment horizontal="center" vertical="center"/>
      <protection locked="0"/>
    </xf>
    <xf numFmtId="0" fontId="4" fillId="5" borderId="25" xfId="0" applyFont="1" applyFill="1" applyBorder="1" applyAlignment="1" applyProtection="1">
      <alignment horizontal="center" vertical="center"/>
      <protection locked="0"/>
    </xf>
    <xf numFmtId="0" fontId="4" fillId="0" borderId="24" xfId="0" applyFont="1" applyBorder="1" applyAlignment="1" applyProtection="1">
      <alignment horizontal="center" vertical="center"/>
      <protection locked="0"/>
    </xf>
    <xf numFmtId="0" fontId="4" fillId="0" borderId="25" xfId="0" applyFont="1" applyBorder="1" applyAlignment="1" applyProtection="1">
      <alignment horizontal="center" vertical="center"/>
      <protection locked="0"/>
    </xf>
    <xf numFmtId="0" fontId="4" fillId="0" borderId="28" xfId="0" applyFont="1" applyBorder="1" applyAlignment="1" applyProtection="1">
      <alignment horizontal="center" vertical="center"/>
      <protection locked="0"/>
    </xf>
    <xf numFmtId="0" fontId="4" fillId="0" borderId="29" xfId="0" applyFont="1" applyBorder="1" applyAlignment="1" applyProtection="1">
      <alignment horizontal="center" vertical="center"/>
      <protection locked="0"/>
    </xf>
    <xf numFmtId="0" fontId="4" fillId="5" borderId="26" xfId="0" applyFont="1" applyFill="1" applyBorder="1" applyAlignment="1" applyProtection="1">
      <alignment horizontal="center" vertical="center"/>
      <protection locked="0"/>
    </xf>
    <xf numFmtId="0" fontId="4" fillId="5" borderId="27" xfId="0" applyFont="1" applyFill="1" applyBorder="1" applyAlignment="1" applyProtection="1">
      <alignment horizontal="center" vertical="center"/>
      <protection locked="0"/>
    </xf>
    <xf numFmtId="0" fontId="4" fillId="0" borderId="30" xfId="0" applyFont="1" applyBorder="1" applyAlignment="1" applyProtection="1">
      <alignment horizontal="center" vertical="center"/>
      <protection locked="0"/>
    </xf>
    <xf numFmtId="0" fontId="4" fillId="0" borderId="31" xfId="0" applyFont="1" applyBorder="1" applyAlignment="1" applyProtection="1">
      <alignment horizontal="center" vertical="center"/>
      <protection locked="0"/>
    </xf>
    <xf numFmtId="0" fontId="4" fillId="5" borderId="32" xfId="0" applyFont="1" applyFill="1" applyBorder="1" applyAlignment="1" applyProtection="1">
      <alignment horizontal="center" vertical="center"/>
      <protection locked="0"/>
    </xf>
    <xf numFmtId="0" fontId="4" fillId="5" borderId="33" xfId="0" applyFont="1" applyFill="1" applyBorder="1" applyAlignment="1" applyProtection="1">
      <alignment horizontal="center" vertical="center"/>
      <protection locked="0"/>
    </xf>
    <xf numFmtId="0" fontId="1" fillId="13" borderId="0" xfId="0" applyFont="1" applyFill="1" applyAlignment="1" applyProtection="1">
      <alignment horizontal="left" vertical="center"/>
      <protection hidden="1"/>
    </xf>
    <xf numFmtId="0" fontId="1" fillId="13" borderId="0" xfId="0" applyFont="1" applyFill="1" applyAlignment="1" applyProtection="1">
      <alignment horizontal="center" vertical="center"/>
      <protection hidden="1"/>
    </xf>
    <xf numFmtId="0" fontId="1" fillId="13" borderId="0" xfId="0" applyFont="1" applyFill="1" applyAlignment="1" applyProtection="1">
      <alignment horizontal="center" vertical="center" wrapText="1"/>
      <protection hidden="1"/>
    </xf>
    <xf numFmtId="0" fontId="1" fillId="13" borderId="0" xfId="0" applyFont="1" applyFill="1" applyAlignment="1" applyProtection="1">
      <alignment horizontal="right" vertical="center" indent="1"/>
      <protection hidden="1"/>
    </xf>
    <xf numFmtId="0" fontId="1" fillId="13" borderId="0" xfId="0" applyFont="1" applyFill="1" applyAlignment="1" applyProtection="1">
      <alignment horizontal="left" vertical="center" indent="1"/>
      <protection hidden="1"/>
    </xf>
    <xf numFmtId="0" fontId="1" fillId="13" borderId="3" xfId="0" applyFont="1" applyFill="1" applyBorder="1" applyAlignment="1" applyProtection="1">
      <alignment horizontal="left" vertical="center"/>
      <protection hidden="1"/>
    </xf>
    <xf numFmtId="0" fontId="3" fillId="13" borderId="0" xfId="0" applyFont="1" applyFill="1" applyAlignment="1" applyProtection="1">
      <alignment vertical="center"/>
      <protection hidden="1"/>
    </xf>
    <xf numFmtId="0" fontId="1" fillId="14" borderId="0" xfId="0" applyFont="1" applyFill="1" applyAlignment="1" applyProtection="1">
      <alignment vertical="center"/>
      <protection hidden="1"/>
    </xf>
    <xf numFmtId="0" fontId="1" fillId="14" borderId="0" xfId="0" applyFont="1" applyFill="1" applyAlignment="1" applyProtection="1">
      <alignment vertical="center" wrapText="1"/>
      <protection hidden="1"/>
    </xf>
    <xf numFmtId="0" fontId="1" fillId="14" borderId="0" xfId="0" applyFont="1" applyFill="1" applyAlignment="1" applyProtection="1">
      <alignment horizontal="right" vertical="center" indent="1"/>
      <protection hidden="1"/>
    </xf>
    <xf numFmtId="0" fontId="1" fillId="14" borderId="0" xfId="0" applyFont="1" applyFill="1" applyAlignment="1" applyProtection="1">
      <alignment horizontal="left" vertical="center" indent="1"/>
      <protection hidden="1"/>
    </xf>
    <xf numFmtId="0" fontId="1" fillId="14" borderId="3" xfId="0" applyFont="1" applyFill="1" applyBorder="1" applyAlignment="1" applyProtection="1">
      <alignment vertical="center"/>
      <protection hidden="1"/>
    </xf>
    <xf numFmtId="0" fontId="11" fillId="14" borderId="0" xfId="0" applyFont="1" applyFill="1" applyAlignment="1" applyProtection="1">
      <alignment horizontal="center" vertical="center"/>
      <protection hidden="1"/>
    </xf>
    <xf numFmtId="0" fontId="1" fillId="14" borderId="6" xfId="0" applyFont="1" applyFill="1" applyBorder="1" applyAlignment="1" applyProtection="1">
      <alignment horizontal="left" vertical="center"/>
      <protection hidden="1"/>
    </xf>
    <xf numFmtId="0" fontId="3" fillId="14" borderId="7" xfId="0" applyFont="1" applyFill="1" applyBorder="1" applyAlignment="1" applyProtection="1">
      <alignment vertical="center"/>
      <protection hidden="1"/>
    </xf>
    <xf numFmtId="0" fontId="1" fillId="14" borderId="7" xfId="0" applyFont="1" applyFill="1" applyBorder="1" applyAlignment="1" applyProtection="1">
      <alignment horizontal="center" vertical="center" wrapText="1"/>
      <protection hidden="1"/>
    </xf>
    <xf numFmtId="165" fontId="1" fillId="14" borderId="7" xfId="0" applyNumberFormat="1" applyFont="1" applyFill="1" applyBorder="1" applyAlignment="1" applyProtection="1">
      <alignment horizontal="center" vertical="center"/>
      <protection hidden="1"/>
    </xf>
    <xf numFmtId="0" fontId="1" fillId="14" borderId="7" xfId="0" applyFont="1" applyFill="1" applyBorder="1" applyAlignment="1" applyProtection="1">
      <alignment horizontal="right" vertical="center"/>
      <protection hidden="1"/>
    </xf>
    <xf numFmtId="0" fontId="1" fillId="14" borderId="0" xfId="0" applyFont="1" applyFill="1" applyAlignment="1" applyProtection="1">
      <alignment horizontal="center" vertical="center"/>
      <protection locked="0"/>
    </xf>
    <xf numFmtId="0" fontId="1" fillId="14" borderId="7" xfId="0" applyFont="1" applyFill="1" applyBorder="1" applyAlignment="1" applyProtection="1">
      <alignment horizontal="left" vertical="center"/>
      <protection hidden="1"/>
    </xf>
    <xf numFmtId="0" fontId="3" fillId="14" borderId="1" xfId="0" applyFont="1" applyFill="1" applyBorder="1" applyAlignment="1" applyProtection="1">
      <alignment horizontal="center"/>
      <protection hidden="1"/>
    </xf>
    <xf numFmtId="0" fontId="4" fillId="14" borderId="0" xfId="0" applyFont="1" applyFill="1" applyProtection="1">
      <protection hidden="1"/>
    </xf>
    <xf numFmtId="0" fontId="4" fillId="14" borderId="0" xfId="0" applyFont="1" applyFill="1" applyAlignment="1" applyProtection="1">
      <alignment wrapText="1"/>
      <protection hidden="1"/>
    </xf>
    <xf numFmtId="0" fontId="4" fillId="14" borderId="0" xfId="0" applyFont="1" applyFill="1" applyAlignment="1" applyProtection="1">
      <alignment horizontal="center"/>
      <protection hidden="1"/>
    </xf>
    <xf numFmtId="0" fontId="4" fillId="14" borderId="0" xfId="0" applyFont="1" applyFill="1" applyAlignment="1" applyProtection="1">
      <alignment horizontal="right" indent="1"/>
      <protection hidden="1"/>
    </xf>
    <xf numFmtId="0" fontId="4" fillId="14" borderId="0" xfId="0" applyFont="1" applyFill="1" applyAlignment="1" applyProtection="1">
      <alignment horizontal="left" indent="1"/>
      <protection hidden="1"/>
    </xf>
    <xf numFmtId="0" fontId="5" fillId="14" borderId="0" xfId="0" applyFont="1" applyFill="1" applyProtection="1">
      <protection hidden="1"/>
    </xf>
    <xf numFmtId="0" fontId="6" fillId="14" borderId="0" xfId="0" applyFont="1" applyFill="1" applyProtection="1">
      <protection hidden="1"/>
    </xf>
    <xf numFmtId="0" fontId="6" fillId="14" borderId="0" xfId="0" applyFont="1" applyFill="1" applyAlignment="1" applyProtection="1">
      <alignment horizontal="left" indent="1"/>
      <protection hidden="1"/>
    </xf>
    <xf numFmtId="0" fontId="3" fillId="14" borderId="0" xfId="0" applyFont="1" applyFill="1" applyAlignment="1" applyProtection="1">
      <alignment horizontal="center"/>
      <protection hidden="1"/>
    </xf>
    <xf numFmtId="0" fontId="2" fillId="14" borderId="0" xfId="0" applyFont="1" applyFill="1" applyProtection="1">
      <protection hidden="1"/>
    </xf>
    <xf numFmtId="0" fontId="0" fillId="14" borderId="0" xfId="0" applyFill="1"/>
    <xf numFmtId="0" fontId="1" fillId="14" borderId="1" xfId="0" applyFont="1" applyFill="1" applyBorder="1" applyAlignment="1" applyProtection="1">
      <alignment horizontal="left" vertical="center" indent="1"/>
      <protection hidden="1"/>
    </xf>
    <xf numFmtId="0" fontId="1" fillId="13" borderId="1" xfId="0" applyFont="1" applyFill="1" applyBorder="1" applyAlignment="1" applyProtection="1">
      <alignment horizontal="left" vertical="center" indent="1"/>
      <protection hidden="1"/>
    </xf>
    <xf numFmtId="0" fontId="1" fillId="13" borderId="1" xfId="0" applyFont="1" applyFill="1" applyBorder="1" applyAlignment="1" applyProtection="1">
      <alignment vertical="center"/>
      <protection hidden="1"/>
    </xf>
    <xf numFmtId="0" fontId="4" fillId="14" borderId="9" xfId="0" applyFont="1" applyFill="1" applyBorder="1" applyAlignment="1" applyProtection="1">
      <alignment horizontal="center" vertical="center"/>
      <protection hidden="1"/>
    </xf>
    <xf numFmtId="0" fontId="4" fillId="14" borderId="10" xfId="0" applyFont="1" applyFill="1" applyBorder="1" applyAlignment="1" applyProtection="1">
      <alignment vertical="center"/>
      <protection hidden="1"/>
    </xf>
    <xf numFmtId="0" fontId="31" fillId="14" borderId="0" xfId="0" applyFont="1" applyFill="1" applyAlignment="1" applyProtection="1">
      <alignment horizontal="center"/>
      <protection hidden="1"/>
    </xf>
    <xf numFmtId="0" fontId="31" fillId="0" borderId="0" xfId="0" applyFont="1" applyAlignment="1" applyProtection="1">
      <alignment vertical="center"/>
      <protection hidden="1"/>
    </xf>
    <xf numFmtId="0" fontId="31" fillId="0" borderId="0" xfId="0" applyFont="1" applyAlignment="1" applyProtection="1">
      <alignment horizontal="center" vertical="center"/>
      <protection hidden="1"/>
    </xf>
    <xf numFmtId="0" fontId="31" fillId="0" borderId="0" xfId="0" applyFont="1" applyAlignment="1" applyProtection="1">
      <alignment horizontal="center" vertical="center" wrapText="1"/>
      <protection hidden="1"/>
    </xf>
    <xf numFmtId="0" fontId="32" fillId="0" borderId="0" xfId="0" applyFont="1" applyAlignment="1" applyProtection="1">
      <alignment horizontal="center" vertical="center"/>
      <protection hidden="1"/>
    </xf>
    <xf numFmtId="0" fontId="8" fillId="0" borderId="5" xfId="0" applyFont="1" applyBorder="1" applyAlignment="1" applyProtection="1">
      <alignment vertical="center"/>
      <protection locked="0"/>
    </xf>
    <xf numFmtId="0" fontId="8" fillId="5" borderId="3" xfId="0" applyFont="1" applyFill="1" applyBorder="1" applyAlignment="1" applyProtection="1">
      <alignment vertical="center"/>
      <protection locked="0"/>
    </xf>
    <xf numFmtId="0" fontId="8" fillId="0" borderId="3" xfId="0" applyFont="1" applyBorder="1" applyAlignment="1" applyProtection="1">
      <alignment vertical="center"/>
      <protection locked="0"/>
    </xf>
    <xf numFmtId="0" fontId="11" fillId="14" borderId="8" xfId="0" applyFont="1" applyFill="1" applyBorder="1" applyAlignment="1" applyProtection="1">
      <alignment vertical="center"/>
      <protection locked="0"/>
    </xf>
    <xf numFmtId="0" fontId="8" fillId="5" borderId="3" xfId="0" applyFont="1" applyFill="1" applyBorder="1" applyProtection="1">
      <protection locked="0"/>
    </xf>
    <xf numFmtId="0" fontId="8" fillId="0" borderId="3" xfId="0" applyFont="1" applyBorder="1" applyProtection="1">
      <protection locked="0"/>
    </xf>
    <xf numFmtId="0" fontId="8" fillId="0" borderId="13" xfId="0" applyFont="1" applyBorder="1" applyProtection="1">
      <protection locked="0"/>
    </xf>
    <xf numFmtId="0" fontId="8" fillId="5" borderId="8" xfId="0" applyFont="1" applyFill="1" applyBorder="1" applyProtection="1">
      <protection locked="0"/>
    </xf>
    <xf numFmtId="0" fontId="8" fillId="0" borderId="8" xfId="0" applyFont="1" applyBorder="1" applyProtection="1">
      <protection locked="0"/>
    </xf>
    <xf numFmtId="0" fontId="18" fillId="0" borderId="15" xfId="1" applyBorder="1" applyAlignment="1" applyProtection="1">
      <alignment vertical="center"/>
      <protection hidden="1"/>
    </xf>
    <xf numFmtId="0" fontId="18" fillId="0" borderId="0" xfId="1" applyBorder="1" applyAlignment="1" applyProtection="1">
      <alignment horizontal="left" vertical="center"/>
      <protection hidden="1"/>
    </xf>
    <xf numFmtId="0" fontId="33" fillId="0" borderId="0" xfId="0" applyFont="1"/>
    <xf numFmtId="0" fontId="3" fillId="0" borderId="0" xfId="0" applyFont="1"/>
    <xf numFmtId="0" fontId="1" fillId="0" borderId="0" xfId="0" applyFont="1" applyAlignment="1">
      <alignment horizontal="center"/>
    </xf>
    <xf numFmtId="0" fontId="3" fillId="0" borderId="0" xfId="0" applyFont="1" applyAlignment="1" applyProtection="1">
      <alignment horizontal="right"/>
      <protection hidden="1"/>
    </xf>
    <xf numFmtId="0" fontId="1" fillId="0" borderId="0" xfId="0" applyFont="1" applyAlignment="1">
      <alignment vertical="center" textRotation="255"/>
    </xf>
    <xf numFmtId="0" fontId="3" fillId="0" borderId="0" xfId="0" applyFont="1" applyAlignment="1">
      <alignment horizontal="center" vertical="center" textRotation="255"/>
    </xf>
    <xf numFmtId="0" fontId="3" fillId="0" borderId="0" xfId="0" applyFont="1" applyAlignment="1">
      <alignment horizontal="left" vertical="center" indent="1"/>
    </xf>
    <xf numFmtId="0" fontId="3" fillId="0" borderId="0" xfId="0" applyFont="1" applyAlignment="1" applyProtection="1">
      <alignment horizontal="left" vertical="center" indent="1"/>
      <protection hidden="1"/>
    </xf>
    <xf numFmtId="0" fontId="3" fillId="0" borderId="0" xfId="0" applyFont="1" applyAlignment="1">
      <alignment horizontal="center"/>
    </xf>
    <xf numFmtId="16" fontId="3" fillId="0" borderId="0" xfId="0" applyNumberFormat="1" applyFont="1" applyAlignment="1" applyProtection="1">
      <alignment vertical="center"/>
      <protection hidden="1"/>
    </xf>
    <xf numFmtId="166" fontId="3" fillId="0" borderId="0" xfId="0" applyNumberFormat="1" applyFont="1" applyAlignment="1" applyProtection="1">
      <alignment horizontal="right" vertical="center"/>
      <protection hidden="1"/>
    </xf>
    <xf numFmtId="166" fontId="3" fillId="0" borderId="0" xfId="0" applyNumberFormat="1" applyFont="1" applyProtection="1">
      <protection hidden="1"/>
    </xf>
    <xf numFmtId="166" fontId="3" fillId="0" borderId="0" xfId="0" applyNumberFormat="1" applyFont="1" applyAlignment="1" applyProtection="1">
      <alignment horizontal="right"/>
      <protection hidden="1"/>
    </xf>
    <xf numFmtId="0" fontId="3" fillId="0" borderId="0" xfId="0" applyFont="1" applyProtection="1">
      <protection locked="0"/>
    </xf>
    <xf numFmtId="0" fontId="3" fillId="0" borderId="0" xfId="0" applyFont="1" applyAlignment="1" applyProtection="1">
      <alignment horizontal="center"/>
      <protection locked="0"/>
    </xf>
    <xf numFmtId="0" fontId="3" fillId="0" borderId="0" xfId="0" applyFont="1" applyAlignment="1" applyProtection="1">
      <alignment wrapText="1"/>
      <protection locked="0"/>
    </xf>
    <xf numFmtId="0" fontId="3" fillId="0" borderId="0" xfId="0" applyFont="1" applyAlignment="1" applyProtection="1">
      <alignment horizontal="center" wrapText="1"/>
      <protection locked="0"/>
    </xf>
    <xf numFmtId="0" fontId="1" fillId="7" borderId="0" xfId="1" applyFont="1" applyFill="1" applyAlignment="1" applyProtection="1">
      <alignment horizontal="center" vertical="center" wrapText="1"/>
      <protection hidden="1"/>
    </xf>
    <xf numFmtId="0" fontId="3" fillId="8" borderId="0" xfId="0" applyFont="1" applyFill="1" applyAlignment="1" applyProtection="1">
      <alignment vertical="center" wrapText="1"/>
      <protection locked="0"/>
    </xf>
    <xf numFmtId="0" fontId="1" fillId="0" borderId="0" xfId="1" applyFont="1" applyFill="1" applyAlignment="1" applyProtection="1">
      <alignment vertical="center"/>
      <protection hidden="1"/>
    </xf>
    <xf numFmtId="0" fontId="3" fillId="0" borderId="0" xfId="0" applyFont="1" applyAlignment="1" applyProtection="1">
      <alignment vertical="center" wrapText="1"/>
      <protection locked="0"/>
    </xf>
    <xf numFmtId="0" fontId="3" fillId="0" borderId="0" xfId="0" applyFont="1" applyAlignment="1">
      <alignment horizontal="left" vertical="center"/>
    </xf>
    <xf numFmtId="0" fontId="1" fillId="0" borderId="0" xfId="0" applyFont="1" applyProtection="1">
      <protection hidden="1"/>
    </xf>
    <xf numFmtId="0" fontId="1" fillId="14" borderId="11" xfId="0" applyFont="1" applyFill="1" applyBorder="1" applyAlignment="1" applyProtection="1">
      <alignment horizontal="center" vertical="center" wrapText="1"/>
      <protection hidden="1"/>
    </xf>
    <xf numFmtId="0" fontId="1" fillId="14" borderId="12" xfId="0" applyFont="1" applyFill="1" applyBorder="1" applyAlignment="1" applyProtection="1">
      <alignment horizontal="center" vertical="center" wrapText="1"/>
      <protection hidden="1"/>
    </xf>
    <xf numFmtId="0" fontId="1" fillId="14" borderId="3" xfId="0" applyFont="1" applyFill="1" applyBorder="1" applyAlignment="1" applyProtection="1">
      <alignment horizontal="center" vertical="center" wrapText="1"/>
      <protection hidden="1"/>
    </xf>
    <xf numFmtId="0" fontId="1" fillId="14" borderId="13" xfId="0" applyFont="1" applyFill="1" applyBorder="1" applyAlignment="1" applyProtection="1">
      <alignment horizontal="center" vertical="center" wrapText="1"/>
      <protection hidden="1"/>
    </xf>
    <xf numFmtId="0" fontId="3" fillId="14" borderId="0" xfId="0" applyFont="1" applyFill="1" applyAlignment="1" applyProtection="1">
      <alignment horizontal="left" vertical="center" indent="1"/>
      <protection hidden="1"/>
    </xf>
    <xf numFmtId="0" fontId="30" fillId="5" borderId="0" xfId="0" applyFont="1" applyFill="1" applyAlignment="1" applyProtection="1">
      <alignment horizontal="left" vertical="center" indent="1"/>
      <protection hidden="1"/>
    </xf>
    <xf numFmtId="0" fontId="1" fillId="6" borderId="7" xfId="0" applyFont="1" applyFill="1" applyBorder="1" applyAlignment="1" applyProtection="1">
      <alignment horizontal="center" vertical="center"/>
      <protection hidden="1"/>
    </xf>
    <xf numFmtId="0" fontId="29" fillId="3" borderId="0" xfId="0" applyFont="1" applyFill="1" applyAlignment="1" applyProtection="1">
      <alignment horizontal="center" vertical="center" wrapText="1"/>
      <protection hidden="1"/>
    </xf>
    <xf numFmtId="0" fontId="13" fillId="14" borderId="0" xfId="0" applyFont="1" applyFill="1" applyAlignment="1" applyProtection="1">
      <alignment horizontal="center" vertical="center" wrapText="1"/>
      <protection hidden="1"/>
    </xf>
    <xf numFmtId="0" fontId="3" fillId="14" borderId="12" xfId="0" applyFont="1" applyFill="1" applyBorder="1" applyAlignment="1" applyProtection="1">
      <alignment horizontal="center" vertical="center" wrapText="1"/>
      <protection hidden="1"/>
    </xf>
    <xf numFmtId="0" fontId="3" fillId="14" borderId="6" xfId="0" applyFont="1" applyFill="1" applyBorder="1" applyAlignment="1" applyProtection="1">
      <alignment horizontal="center" vertical="center" wrapText="1"/>
      <protection hidden="1"/>
    </xf>
    <xf numFmtId="0" fontId="3" fillId="14" borderId="1" xfId="0" applyFont="1" applyFill="1" applyBorder="1" applyAlignment="1" applyProtection="1">
      <alignment horizontal="center" vertical="center" wrapText="1"/>
      <protection hidden="1"/>
    </xf>
    <xf numFmtId="0" fontId="1" fillId="13" borderId="0" xfId="0" applyFont="1" applyFill="1" applyAlignment="1" applyProtection="1">
      <alignment horizontal="center" vertical="center"/>
      <protection hidden="1"/>
    </xf>
    <xf numFmtId="0" fontId="11" fillId="14" borderId="0" xfId="0" applyFont="1" applyFill="1" applyAlignment="1" applyProtection="1">
      <alignment horizontal="left" vertical="center" indent="1"/>
      <protection hidden="1"/>
    </xf>
    <xf numFmtId="0" fontId="26" fillId="2" borderId="19" xfId="0" applyFont="1" applyFill="1" applyBorder="1" applyAlignment="1">
      <alignment horizontal="center" vertical="center"/>
    </xf>
    <xf numFmtId="0" fontId="26" fillId="2" borderId="0" xfId="0" applyFont="1" applyFill="1" applyAlignment="1">
      <alignment horizontal="center" vertical="center"/>
    </xf>
    <xf numFmtId="0" fontId="26" fillId="2" borderId="20" xfId="0" applyFont="1" applyFill="1" applyBorder="1" applyAlignment="1">
      <alignment horizontal="center" vertical="center"/>
    </xf>
    <xf numFmtId="0" fontId="27" fillId="3" borderId="0" xfId="0" applyFont="1" applyFill="1" applyAlignment="1">
      <alignment horizontal="center" vertical="center"/>
    </xf>
    <xf numFmtId="0" fontId="27" fillId="3" borderId="22" xfId="0" applyFont="1" applyFill="1" applyBorder="1" applyAlignment="1">
      <alignment horizontal="center" vertical="center"/>
    </xf>
    <xf numFmtId="0" fontId="28" fillId="0" borderId="0" xfId="1" applyFont="1" applyAlignment="1" applyProtection="1">
      <alignment horizontal="left"/>
    </xf>
    <xf numFmtId="0" fontId="33" fillId="15" borderId="0" xfId="1" applyFont="1" applyFill="1" applyAlignment="1" applyProtection="1">
      <alignment horizontal="center" vertical="center" wrapText="1"/>
      <protection hidden="1"/>
    </xf>
  </cellXfs>
  <cellStyles count="3">
    <cellStyle name="Hyperlink" xfId="1" builtinId="8"/>
    <cellStyle name="Normal" xfId="0" builtinId="0"/>
    <cellStyle name="Normal 2" xfId="2" xr:uid="{00000000-0005-0000-0000-000002000000}"/>
  </cellStyles>
  <dxfs count="17">
    <dxf>
      <font>
        <color theme="0"/>
      </font>
    </dxf>
    <dxf>
      <font>
        <color theme="0"/>
      </font>
    </dxf>
    <dxf>
      <font>
        <color theme="0"/>
      </font>
      <fill>
        <patternFill>
          <bgColor theme="0"/>
        </patternFill>
      </fill>
      <border>
        <left/>
        <right/>
        <top/>
        <bottom/>
        <vertical/>
        <horizontal/>
      </border>
    </dxf>
    <dxf>
      <fill>
        <patternFill>
          <bgColor theme="0" tint="-0.14996795556505021"/>
        </patternFill>
      </fill>
    </dxf>
    <dxf>
      <font>
        <b/>
        <i val="0"/>
        <color rgb="FFC00000"/>
      </font>
    </dxf>
    <dxf>
      <font>
        <b val="0"/>
        <i/>
        <color theme="1" tint="0.499984740745262"/>
      </font>
    </dxf>
    <dxf>
      <font>
        <b val="0"/>
        <i/>
        <color theme="1" tint="0.499984740745262"/>
      </font>
    </dxf>
    <dxf>
      <font>
        <b/>
        <i val="0"/>
        <color rgb="FFC00000"/>
      </font>
    </dxf>
    <dxf>
      <font>
        <b/>
        <i val="0"/>
      </font>
    </dxf>
    <dxf>
      <font>
        <b val="0"/>
        <i/>
        <color theme="1" tint="0.499984740745262"/>
      </font>
    </dxf>
    <dxf>
      <font>
        <color rgb="FFFF0000"/>
      </font>
      <fill>
        <patternFill>
          <bgColor theme="9" tint="0.79998168889431442"/>
        </patternFill>
      </fill>
    </dxf>
    <dxf>
      <font>
        <b/>
        <i val="0"/>
      </font>
    </dxf>
    <dxf>
      <font>
        <b val="0"/>
        <i/>
        <color theme="1" tint="0.499984740745262"/>
      </font>
    </dxf>
    <dxf>
      <font>
        <b/>
        <i val="0"/>
        <color rgb="FFC00000"/>
      </font>
    </dxf>
    <dxf>
      <font>
        <b val="0"/>
        <i/>
        <color theme="1" tint="0.499984740745262"/>
      </font>
    </dxf>
    <dxf>
      <font>
        <b val="0"/>
        <i/>
        <color theme="1" tint="0.499984740745262"/>
      </font>
    </dxf>
    <dxf>
      <font>
        <b/>
        <i val="0"/>
        <color rgb="FFC0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https://www.fatfreecartpro.com/ecom/gb.php?&amp;c=single&amp;cl=353533&amp;i=1831539" TargetMode="External"/></Relationships>
</file>

<file path=xl/drawings/drawing1.xml><?xml version="1.0" encoding="utf-8"?>
<xdr:wsDr xmlns:xdr="http://schemas.openxmlformats.org/drawingml/2006/spreadsheetDrawing" xmlns:a="http://schemas.openxmlformats.org/drawingml/2006/main">
  <xdr:twoCellAnchor editAs="oneCell">
    <xdr:from>
      <xdr:col>16</xdr:col>
      <xdr:colOff>295275</xdr:colOff>
      <xdr:row>27</xdr:row>
      <xdr:rowOff>9525</xdr:rowOff>
    </xdr:from>
    <xdr:to>
      <xdr:col>21</xdr:col>
      <xdr:colOff>333375</xdr:colOff>
      <xdr:row>36</xdr:row>
      <xdr:rowOff>142875</xdr:rowOff>
    </xdr:to>
    <xdr:pic>
      <xdr:nvPicPr>
        <xdr:cNvPr id="3" name="Picture 2">
          <a:extLst>
            <a:ext uri="{FF2B5EF4-FFF2-40B4-BE49-F238E27FC236}">
              <a16:creationId xmlns:a16="http://schemas.microsoft.com/office/drawing/2014/main" id="{A4F0B358-F8E3-CD1A-6E69-A0FD46FA1B1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039100" y="5048250"/>
          <a:ext cx="1762125" cy="176212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88900</xdr:colOff>
      <xdr:row>2</xdr:row>
      <xdr:rowOff>25400</xdr:rowOff>
    </xdr:from>
    <xdr:to>
      <xdr:col>17</xdr:col>
      <xdr:colOff>228600</xdr:colOff>
      <xdr:row>78</xdr:row>
      <xdr:rowOff>25400</xdr:rowOff>
    </xdr:to>
    <xdr:sp macro="" textlink="">
      <xdr:nvSpPr>
        <xdr:cNvPr id="2" name="TextBox 1">
          <a:extLst>
            <a:ext uri="{FF2B5EF4-FFF2-40B4-BE49-F238E27FC236}">
              <a16:creationId xmlns:a16="http://schemas.microsoft.com/office/drawing/2014/main" id="{00000000-0008-0000-0400-000002000000}"/>
            </a:ext>
          </a:extLst>
        </xdr:cNvPr>
        <xdr:cNvSpPr txBox="1"/>
      </xdr:nvSpPr>
      <xdr:spPr>
        <a:xfrm>
          <a:off x="203200" y="546100"/>
          <a:ext cx="9893300" cy="120713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dk1"/>
              </a:solidFill>
              <a:effectLst/>
              <a:latin typeface="+mn-lt"/>
              <a:ea typeface="+mn-ea"/>
              <a:cs typeface="+mn-cs"/>
            </a:rPr>
            <a:t>SINGLE-USER LICENSE AGREEMENT FOR JOURNALSHEET.COM SPREADSHEET </a:t>
          </a:r>
          <a:endParaRPr lang="en-US" sz="1800">
            <a:effectLst/>
          </a:endParaRPr>
        </a:p>
        <a:p>
          <a:br>
            <a:rPr lang="en-US" sz="1800" b="1">
              <a:solidFill>
                <a:schemeClr val="dk1"/>
              </a:solidFill>
              <a:effectLst/>
              <a:latin typeface="+mn-lt"/>
              <a:ea typeface="+mn-ea"/>
              <a:cs typeface="+mn-cs"/>
            </a:rPr>
          </a:br>
          <a:r>
            <a:rPr lang="en-US" sz="1800" b="1">
              <a:solidFill>
                <a:schemeClr val="dk1"/>
              </a:solidFill>
              <a:effectLst/>
              <a:latin typeface="+mn-lt"/>
              <a:ea typeface="+mn-ea"/>
              <a:cs typeface="+mn-cs"/>
            </a:rPr>
            <a:t>IMPORTANT </a:t>
          </a:r>
          <a:endParaRPr lang="en-US" sz="1800">
            <a:effectLst/>
          </a:endParaRPr>
        </a:p>
        <a:p>
          <a:br>
            <a:rPr lang="en-US" sz="1400" b="1">
              <a:solidFill>
                <a:schemeClr val="dk1"/>
              </a:solidFill>
              <a:effectLst/>
              <a:latin typeface="+mn-lt"/>
              <a:ea typeface="+mn-ea"/>
              <a:cs typeface="+mn-cs"/>
            </a:rPr>
          </a:br>
          <a:r>
            <a:rPr lang="en-US" sz="1400" b="1">
              <a:solidFill>
                <a:schemeClr val="dk1"/>
              </a:solidFill>
              <a:effectLst/>
              <a:latin typeface="+mn-lt"/>
              <a:ea typeface="+mn-ea"/>
              <a:cs typeface="+mn-cs"/>
            </a:rPr>
            <a:t>PLEASE READ THE TERMS AND CONDITIONS OF THIS LICENSE AGREEMENT CAREFULLY BEFORE USING THIS SOFTWARE</a:t>
          </a:r>
          <a:endParaRPr lang="en-US" sz="1400">
            <a:effectLst/>
          </a:endParaRPr>
        </a:p>
        <a:p>
          <a:r>
            <a:rPr lang="en-US" sz="1100">
              <a:solidFill>
                <a:schemeClr val="dk1"/>
              </a:solidFill>
              <a:effectLst/>
              <a:latin typeface="+mn-lt"/>
              <a:ea typeface="+mn-ea"/>
              <a:cs typeface="+mn-cs"/>
            </a:rPr>
            <a:t>This is a legal agreement between you (either an individual or a single entity) and JOURNALSHEET.COM for the JOURNALSHEET.COM SPREADSHEET identified above which may include associated software components, media, printed materials, and "online" or electronic documentation ("JOURNALSHEET.COM SPREADSHEET "). By installing, copying, or otherwise using the JOURNALSHEET.COM SPREADSHEET, you agree to be bound by the terms of this agreement. This license agreement represents the entire agreement concerning the program between you and JOURNALSHEET.COM, (referred to as "licenser"), and it supersedes any prior proposal, representation, or understanding between the parties. If you do not agree to the terms of this agreement, do not install or use the JOURNALSHEET.COM SPREADSHEET.</a:t>
          </a:r>
          <a:endParaRPr lang="en-US">
            <a:effectLst/>
          </a:endParaRPr>
        </a:p>
        <a:p>
          <a:r>
            <a:rPr lang="en-US" sz="1100">
              <a:solidFill>
                <a:schemeClr val="dk1"/>
              </a:solidFill>
              <a:effectLst/>
              <a:latin typeface="+mn-lt"/>
              <a:ea typeface="+mn-ea"/>
              <a:cs typeface="+mn-cs"/>
            </a:rPr>
            <a:t>The JOURNALSHEET.COM SPREADSHEET is protected by copyright laws and international copyright treaties, as well as other intellectual property laws and treaties. The JOURNALSHEET.COM SPREADSHEET is licensed, not sold.</a:t>
          </a:r>
        </a:p>
        <a:p>
          <a:endParaRPr lang="en-US">
            <a:effectLst/>
          </a:endParaRPr>
        </a:p>
        <a:p>
          <a:r>
            <a:rPr lang="en-US" sz="1100" b="1">
              <a:solidFill>
                <a:schemeClr val="dk1"/>
              </a:solidFill>
              <a:effectLst/>
              <a:latin typeface="+mn-lt"/>
              <a:ea typeface="+mn-ea"/>
              <a:cs typeface="+mn-cs"/>
            </a:rPr>
            <a:t>1. GRANT OF LICENSE TO MULTI-USER.</a:t>
          </a:r>
          <a:endParaRPr lang="en-US">
            <a:effectLst/>
          </a:endParaRPr>
        </a:p>
        <a:p>
          <a:r>
            <a:rPr lang="en-US" sz="1100">
              <a:solidFill>
                <a:schemeClr val="dk1"/>
              </a:solidFill>
              <a:effectLst/>
              <a:latin typeface="+mn-lt"/>
              <a:ea typeface="+mn-ea"/>
              <a:cs typeface="+mn-cs"/>
            </a:rPr>
            <a:t>The JOURNALSHEET.COM SPREADSHEET is licensed as follows:</a:t>
          </a:r>
          <a:endParaRPr lang="en-US">
            <a:effectLst/>
          </a:endParaRPr>
        </a:p>
        <a:p>
          <a:r>
            <a:rPr lang="en-US" sz="1100">
              <a:solidFill>
                <a:schemeClr val="dk1"/>
              </a:solidFill>
              <a:effectLst/>
              <a:latin typeface="+mn-lt"/>
              <a:ea typeface="+mn-ea"/>
              <a:cs typeface="+mn-cs"/>
            </a:rPr>
            <a:t>(a) Installation and Use.</a:t>
          </a:r>
          <a:endParaRPr lang="en-US">
            <a:effectLst/>
          </a:endParaRPr>
        </a:p>
        <a:p>
          <a:r>
            <a:rPr lang="en-US" sz="1100">
              <a:solidFill>
                <a:schemeClr val="dk1"/>
              </a:solidFill>
              <a:effectLst/>
              <a:latin typeface="+mn-lt"/>
              <a:ea typeface="+mn-ea"/>
              <a:cs typeface="+mn-cs"/>
            </a:rPr>
            <a:t>JOURNALSHEET.COM grants you the right to install and use copies of the JOURNALSHEET.COM SPREADSHEET on computers within one particular specified location or on a network at a single site (e.g. office) and your running validly licensed copies of the office suite [Microsoft Excel 2007</a:t>
          </a:r>
          <a:r>
            <a:rPr lang="en-US" sz="1100" baseline="0">
              <a:solidFill>
                <a:schemeClr val="dk1"/>
              </a:solidFill>
              <a:effectLst/>
              <a:latin typeface="+mn-lt"/>
              <a:ea typeface="+mn-ea"/>
              <a:cs typeface="+mn-cs"/>
            </a:rPr>
            <a:t> - 2019</a:t>
          </a:r>
          <a:r>
            <a:rPr lang="en-US" sz="1100">
              <a:solidFill>
                <a:schemeClr val="dk1"/>
              </a:solidFill>
              <a:effectLst/>
              <a:latin typeface="+mn-lt"/>
              <a:ea typeface="+mn-ea"/>
              <a:cs typeface="+mn-cs"/>
            </a:rPr>
            <a:t>) and Windows Operating System</a:t>
          </a:r>
          <a:r>
            <a:rPr lang="en-US" sz="1100" baseline="0">
              <a:solidFill>
                <a:schemeClr val="dk1"/>
              </a:solidFill>
              <a:effectLst/>
              <a:latin typeface="+mn-lt"/>
              <a:ea typeface="+mn-ea"/>
              <a:cs typeface="+mn-cs"/>
            </a:rPr>
            <a:t> </a:t>
          </a:r>
          <a:r>
            <a:rPr lang="en-US" sz="1100">
              <a:solidFill>
                <a:schemeClr val="dk1"/>
              </a:solidFill>
              <a:effectLst/>
              <a:latin typeface="+mn-lt"/>
              <a:ea typeface="+mn-ea"/>
              <a:cs typeface="+mn-cs"/>
            </a:rPr>
            <a:t>[Windows NT, Windows 2003, Windows XP, Windows Vista, Windows 7, Windows 8, Windows 10 ] and</a:t>
          </a:r>
          <a:r>
            <a:rPr lang="en-US" sz="1100" baseline="0">
              <a:solidFill>
                <a:schemeClr val="dk1"/>
              </a:solidFill>
              <a:effectLst/>
              <a:latin typeface="+mn-lt"/>
              <a:ea typeface="+mn-ea"/>
              <a:cs typeface="+mn-cs"/>
            </a:rPr>
            <a:t> Mac Operating System </a:t>
          </a:r>
          <a:r>
            <a:rPr lang="en-US" sz="1100">
              <a:solidFill>
                <a:schemeClr val="dk1"/>
              </a:solidFill>
              <a:effectLst/>
              <a:latin typeface="+mn-lt"/>
              <a:ea typeface="+mn-ea"/>
              <a:cs typeface="+mn-cs"/>
            </a:rPr>
            <a:t>for which the JOURNALSHEET.COM SPREADSHEET was designed.</a:t>
          </a:r>
          <a:endParaRPr lang="en-US">
            <a:effectLst/>
          </a:endParaRPr>
        </a:p>
        <a:p>
          <a:r>
            <a:rPr lang="en-US" sz="1100">
              <a:solidFill>
                <a:schemeClr val="dk1"/>
              </a:solidFill>
              <a:effectLst/>
              <a:latin typeface="+mn-lt"/>
              <a:ea typeface="+mn-ea"/>
              <a:cs typeface="+mn-cs"/>
            </a:rPr>
            <a:t>(b) Backup Copies.</a:t>
          </a:r>
          <a:endParaRPr lang="en-US">
            <a:effectLst/>
          </a:endParaRPr>
        </a:p>
        <a:p>
          <a:r>
            <a:rPr lang="en-US" sz="1100">
              <a:solidFill>
                <a:schemeClr val="dk1"/>
              </a:solidFill>
              <a:effectLst/>
              <a:latin typeface="+mn-lt"/>
              <a:ea typeface="+mn-ea"/>
              <a:cs typeface="+mn-cs"/>
            </a:rPr>
            <a:t>You may also make copies of the JOURNALSHEET.COM SPREADSHEET as may be necessary for backup and archival purposes.</a:t>
          </a:r>
        </a:p>
        <a:p>
          <a:endParaRPr lang="en-US">
            <a:effectLst/>
          </a:endParaRPr>
        </a:p>
        <a:p>
          <a:r>
            <a:rPr lang="en-US" sz="1100" b="1">
              <a:solidFill>
                <a:schemeClr val="dk1"/>
              </a:solidFill>
              <a:effectLst/>
              <a:latin typeface="+mn-lt"/>
              <a:ea typeface="+mn-ea"/>
              <a:cs typeface="+mn-cs"/>
            </a:rPr>
            <a:t>2. DESCRIPTION OF OTHER RIGHTS AND LIMITATIONS.</a:t>
          </a:r>
          <a:endParaRPr lang="en-US">
            <a:effectLst/>
          </a:endParaRPr>
        </a:p>
        <a:p>
          <a:r>
            <a:rPr lang="en-US" sz="1100">
              <a:solidFill>
                <a:schemeClr val="dk1"/>
              </a:solidFill>
              <a:effectLst/>
              <a:latin typeface="+mn-lt"/>
              <a:ea typeface="+mn-ea"/>
              <a:cs typeface="+mn-cs"/>
            </a:rPr>
            <a:t>(a) Maintenance of Copyright Notices.</a:t>
          </a:r>
          <a:endParaRPr lang="en-US">
            <a:effectLst/>
          </a:endParaRPr>
        </a:p>
        <a:p>
          <a:r>
            <a:rPr lang="en-US" sz="1100">
              <a:solidFill>
                <a:schemeClr val="dk1"/>
              </a:solidFill>
              <a:effectLst/>
              <a:latin typeface="+mn-lt"/>
              <a:ea typeface="+mn-ea"/>
              <a:cs typeface="+mn-cs"/>
            </a:rPr>
            <a:t>You must not remove or alter any copyright notices on any and all copies of the JOURNALSHEET.COM SPREADSHEET.</a:t>
          </a:r>
          <a:endParaRPr lang="en-US">
            <a:effectLst/>
          </a:endParaRPr>
        </a:p>
        <a:p>
          <a:r>
            <a:rPr lang="en-US" sz="1100">
              <a:solidFill>
                <a:schemeClr val="dk1"/>
              </a:solidFill>
              <a:effectLst/>
              <a:latin typeface="+mn-lt"/>
              <a:ea typeface="+mn-ea"/>
              <a:cs typeface="+mn-cs"/>
            </a:rPr>
            <a:t>(b) Distribution.</a:t>
          </a:r>
          <a:endParaRPr lang="en-US">
            <a:effectLst/>
          </a:endParaRPr>
        </a:p>
        <a:p>
          <a:r>
            <a:rPr lang="en-US" sz="1100">
              <a:solidFill>
                <a:schemeClr val="dk1"/>
              </a:solidFill>
              <a:effectLst/>
              <a:latin typeface="+mn-lt"/>
              <a:ea typeface="+mn-ea"/>
              <a:cs typeface="+mn-cs"/>
            </a:rPr>
            <a:t>You may not distribute registered copies of the JOURNALSHEET.COM SPREADSHEET to third parties. Evaluation versions available for download from JOURNALSHEET.COM's websites may be freely distributed.</a:t>
          </a:r>
          <a:endParaRPr lang="en-US">
            <a:effectLst/>
          </a:endParaRPr>
        </a:p>
        <a:p>
          <a:r>
            <a:rPr lang="en-US" sz="1100">
              <a:solidFill>
                <a:schemeClr val="dk1"/>
              </a:solidFill>
              <a:effectLst/>
              <a:latin typeface="+mn-lt"/>
              <a:ea typeface="+mn-ea"/>
              <a:cs typeface="+mn-cs"/>
            </a:rPr>
            <a:t>(c) Prohibition on Reverse Engineering, Decompilation, and Disassembly.</a:t>
          </a:r>
          <a:endParaRPr lang="en-US">
            <a:effectLst/>
          </a:endParaRPr>
        </a:p>
        <a:p>
          <a:r>
            <a:rPr lang="en-US" sz="1100">
              <a:solidFill>
                <a:schemeClr val="dk1"/>
              </a:solidFill>
              <a:effectLst/>
              <a:latin typeface="+mn-lt"/>
              <a:ea typeface="+mn-ea"/>
              <a:cs typeface="+mn-cs"/>
            </a:rPr>
            <a:t>You may not reverse engineer, decompile, or disassemble the JOURNALSHEET.COM SPREADSHEET, except and only to the extent that such activity is expressly permitted by applicable law notwithstanding this limitation.</a:t>
          </a:r>
          <a:endParaRPr lang="en-US">
            <a:effectLst/>
          </a:endParaRPr>
        </a:p>
        <a:p>
          <a:r>
            <a:rPr lang="en-US" sz="1100">
              <a:solidFill>
                <a:schemeClr val="dk1"/>
              </a:solidFill>
              <a:effectLst/>
              <a:latin typeface="+mn-lt"/>
              <a:ea typeface="+mn-ea"/>
              <a:cs typeface="+mn-cs"/>
            </a:rPr>
            <a:t>(d) Rental.</a:t>
          </a:r>
          <a:endParaRPr lang="en-US">
            <a:effectLst/>
          </a:endParaRPr>
        </a:p>
        <a:p>
          <a:r>
            <a:rPr lang="en-US" sz="1100">
              <a:solidFill>
                <a:schemeClr val="dk1"/>
              </a:solidFill>
              <a:effectLst/>
              <a:latin typeface="+mn-lt"/>
              <a:ea typeface="+mn-ea"/>
              <a:cs typeface="+mn-cs"/>
            </a:rPr>
            <a:t>You may not rent, lease, or lend the JOURNALSHEET.COM SPREADSHEET.</a:t>
          </a:r>
          <a:endParaRPr lang="en-US">
            <a:effectLst/>
          </a:endParaRPr>
        </a:p>
        <a:p>
          <a:r>
            <a:rPr lang="en-US" sz="1100">
              <a:solidFill>
                <a:schemeClr val="dk1"/>
              </a:solidFill>
              <a:effectLst/>
              <a:latin typeface="+mn-lt"/>
              <a:ea typeface="+mn-ea"/>
              <a:cs typeface="+mn-cs"/>
            </a:rPr>
            <a:t>(e) Support Services.</a:t>
          </a:r>
          <a:endParaRPr lang="en-US">
            <a:effectLst/>
          </a:endParaRPr>
        </a:p>
        <a:p>
          <a:r>
            <a:rPr lang="en-US" sz="1100">
              <a:solidFill>
                <a:schemeClr val="dk1"/>
              </a:solidFill>
              <a:effectLst/>
              <a:latin typeface="+mn-lt"/>
              <a:ea typeface="+mn-ea"/>
              <a:cs typeface="+mn-cs"/>
            </a:rPr>
            <a:t>JOURNALSHEET.COM may provide you with support services related to the JOURNALSHEET.COM SPREADSHEET ("Support Services"). Any supplemental software code provided to you as part of the Support Services shall be considered part of the JOURNALSHEET.COM SPREADSHEET and subject to the terms and conditions of this agreement.</a:t>
          </a:r>
          <a:endParaRPr lang="en-US">
            <a:effectLst/>
          </a:endParaRPr>
        </a:p>
        <a:p>
          <a:r>
            <a:rPr lang="en-US" sz="1100">
              <a:solidFill>
                <a:schemeClr val="dk1"/>
              </a:solidFill>
              <a:effectLst/>
              <a:latin typeface="+mn-lt"/>
              <a:ea typeface="+mn-ea"/>
              <a:cs typeface="+mn-cs"/>
            </a:rPr>
            <a:t>(f) Compliance with Applicable Laws.</a:t>
          </a:r>
          <a:endParaRPr lang="en-US">
            <a:effectLst/>
          </a:endParaRPr>
        </a:p>
        <a:p>
          <a:r>
            <a:rPr lang="en-US" sz="1100">
              <a:solidFill>
                <a:schemeClr val="dk1"/>
              </a:solidFill>
              <a:effectLst/>
              <a:latin typeface="+mn-lt"/>
              <a:ea typeface="+mn-ea"/>
              <a:cs typeface="+mn-cs"/>
            </a:rPr>
            <a:t>You must comply with all applicable laws regarding use of the JOURNALSHEET.COM SPREADSHEET.</a:t>
          </a:r>
        </a:p>
        <a:p>
          <a:endParaRPr lang="en-US">
            <a:effectLst/>
          </a:endParaRPr>
        </a:p>
        <a:p>
          <a:r>
            <a:rPr lang="en-US" sz="1100" b="1">
              <a:solidFill>
                <a:schemeClr val="dk1"/>
              </a:solidFill>
              <a:effectLst/>
              <a:latin typeface="+mn-lt"/>
              <a:ea typeface="+mn-ea"/>
              <a:cs typeface="+mn-cs"/>
            </a:rPr>
            <a:t>3. TERMINATION</a:t>
          </a:r>
          <a:endParaRPr lang="en-US">
            <a:effectLst/>
          </a:endParaRPr>
        </a:p>
        <a:p>
          <a:r>
            <a:rPr lang="en-US" sz="1100">
              <a:solidFill>
                <a:schemeClr val="dk1"/>
              </a:solidFill>
              <a:effectLst/>
              <a:latin typeface="+mn-lt"/>
              <a:ea typeface="+mn-ea"/>
              <a:cs typeface="+mn-cs"/>
            </a:rPr>
            <a:t>Without prejudice to any other rights, JOURNALSHEET.COM may terminate this agreement if you fail to comply with the terms and conditions of this agreement. In such event, you must destroy all copies of the JOURNALSHEET.COM SPREADSHEET in your possession.</a:t>
          </a:r>
        </a:p>
        <a:p>
          <a:endParaRPr lang="en-US">
            <a:effectLst/>
          </a:endParaRPr>
        </a:p>
        <a:p>
          <a:r>
            <a:rPr lang="en-US" sz="1100" b="1">
              <a:solidFill>
                <a:schemeClr val="dk1"/>
              </a:solidFill>
              <a:effectLst/>
              <a:latin typeface="+mn-lt"/>
              <a:ea typeface="+mn-ea"/>
              <a:cs typeface="+mn-cs"/>
            </a:rPr>
            <a:t>4. COPYRIGHT</a:t>
          </a:r>
          <a:endParaRPr lang="en-US">
            <a:effectLst/>
          </a:endParaRPr>
        </a:p>
        <a:p>
          <a:r>
            <a:rPr lang="en-US" sz="1100">
              <a:solidFill>
                <a:schemeClr val="dk1"/>
              </a:solidFill>
              <a:effectLst/>
              <a:latin typeface="+mn-lt"/>
              <a:ea typeface="+mn-ea"/>
              <a:cs typeface="+mn-cs"/>
            </a:rPr>
            <a:t>All title, including but not limited to copyrights, in and to the JOURNALSHEET.COM SPREADSHEET and any copies thereof are owned by JOURNALSHEET.COM or its suppliers. All title and intellectual property rights in and to the content which may be accessed through use of the JOURNALSHEET.COM SPREADSHEET is the property of the respective content owner and may be protected by applicable copyright or other intellectual property laws and treaties. This agreement grants you no rights to use such content. All rights not expressly granted are reserved by JOURNALSHEET.COM.</a:t>
          </a:r>
        </a:p>
        <a:p>
          <a:endParaRPr lang="en-US">
            <a:effectLst/>
          </a:endParaRPr>
        </a:p>
        <a:p>
          <a:r>
            <a:rPr lang="en-US" sz="1100" b="1">
              <a:solidFill>
                <a:schemeClr val="dk1"/>
              </a:solidFill>
              <a:effectLst/>
              <a:latin typeface="+mn-lt"/>
              <a:ea typeface="+mn-ea"/>
              <a:cs typeface="+mn-cs"/>
            </a:rPr>
            <a:t>5. NO WARRANTIES</a:t>
          </a:r>
          <a:endParaRPr lang="en-US">
            <a:effectLst/>
          </a:endParaRPr>
        </a:p>
        <a:p>
          <a:r>
            <a:rPr lang="en-US" sz="1100">
              <a:solidFill>
                <a:schemeClr val="dk1"/>
              </a:solidFill>
              <a:effectLst/>
              <a:latin typeface="+mn-lt"/>
              <a:ea typeface="+mn-ea"/>
              <a:cs typeface="+mn-cs"/>
            </a:rPr>
            <a:t>JOURNALSHEET.COM expressly disclaims any warranty for the JOURNALSHEET.COM SPREADSHEET. The JOURNALSHEET.COM SPREADSHEET is provided 'As Is' without any express or implied warranty of any kind, including but not limited to any warranties of merchantability, noninfringement, or fitness of a particular purpose. JOURNALSHEET.COM does not warrant or assume responsibility for the accuracy or completeness of any information, text, graphics, links or other items contained within the JOURNALSHEET.COM SPREADSHEET. JOURNALSHEET.COM makes no warranties respecting any harm that may be caused by the transmission of a computer virus, worm, time bomb, logic bomb, or other such computer program. JOURNALSHEET.COM further expressly disclaims any warranty or representation to Authorized Users or to any third party.</a:t>
          </a:r>
        </a:p>
        <a:p>
          <a:endParaRPr lang="en-US">
            <a:effectLst/>
          </a:endParaRPr>
        </a:p>
        <a:p>
          <a:r>
            <a:rPr lang="en-US" sz="1100" b="1">
              <a:solidFill>
                <a:schemeClr val="dk1"/>
              </a:solidFill>
              <a:effectLst/>
              <a:latin typeface="+mn-lt"/>
              <a:ea typeface="+mn-ea"/>
              <a:cs typeface="+mn-cs"/>
            </a:rPr>
            <a:t>6. LIMITATION OF LIABILITY</a:t>
          </a:r>
          <a:endParaRPr lang="en-US">
            <a:effectLst/>
          </a:endParaRPr>
        </a:p>
        <a:p>
          <a:r>
            <a:rPr lang="en-US" sz="1100">
              <a:solidFill>
                <a:schemeClr val="dk1"/>
              </a:solidFill>
              <a:effectLst/>
              <a:latin typeface="+mn-lt"/>
              <a:ea typeface="+mn-ea"/>
              <a:cs typeface="+mn-cs"/>
            </a:rPr>
            <a:t>In no event shall JOURNALSHEET.COM be liable for any damages (including, without limitation, lost profits, business interruption, or lost information) rising out of 'Authorized Users' use of or inability to use the JOURNALSHEET.COM SPREADSHEET, even if JOURNALSHEET.COM has been advised of the possibility of such damages. In no event will JOURNALSHEET.COM be liable for loss of data or for indirect, special, incidental, consequential (including lost profit), or other damages based in contract, tort or otherwise. JOURNALSHEET.COM shall have no liability with respect to the content of the JOURNALSHEET.COM SPREADSHEET or any part thereof, including but not limited to errors or omissions contained therein, libel, infringements of rights of publicity, privacy, trademark rights, business interruption, personal injury, loss of privacy, moral rights or the disclosure of confidential information.</a:t>
          </a:r>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9</xdr:col>
      <xdr:colOff>269875</xdr:colOff>
      <xdr:row>3</xdr:row>
      <xdr:rowOff>85725</xdr:rowOff>
    </xdr:from>
    <xdr:to>
      <xdr:col>11</xdr:col>
      <xdr:colOff>738764</xdr:colOff>
      <xdr:row>8</xdr:row>
      <xdr:rowOff>88900</xdr:rowOff>
    </xdr:to>
    <xdr:pic>
      <xdr:nvPicPr>
        <xdr:cNvPr id="2" name="Picture 1">
          <a:hlinkClick xmlns:r="http://schemas.openxmlformats.org/officeDocument/2006/relationships" r:id="rId1"/>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689600" y="657225"/>
          <a:ext cx="2278639" cy="1136650"/>
        </a:xfrm>
        <a:prstGeom prst="rect">
          <a:avLst/>
        </a:prstGeom>
      </xdr:spPr>
    </xdr:pic>
    <xdr:clientData/>
  </xdr:twoCellAnchor>
  <xdr:twoCellAnchor>
    <xdr:from>
      <xdr:col>12</xdr:col>
      <xdr:colOff>127000</xdr:colOff>
      <xdr:row>2</xdr:row>
      <xdr:rowOff>57150</xdr:rowOff>
    </xdr:from>
    <xdr:to>
      <xdr:col>22</xdr:col>
      <xdr:colOff>177800</xdr:colOff>
      <xdr:row>13</xdr:row>
      <xdr:rowOff>19050</xdr:rowOff>
    </xdr:to>
    <xdr:sp macro="" textlink="">
      <xdr:nvSpPr>
        <xdr:cNvPr id="3" name="TextBox 2">
          <a:extLst>
            <a:ext uri="{FF2B5EF4-FFF2-40B4-BE49-F238E27FC236}">
              <a16:creationId xmlns:a16="http://schemas.microsoft.com/office/drawing/2014/main" id="{00000000-0008-0000-0500-000003000000}"/>
            </a:ext>
          </a:extLst>
        </xdr:cNvPr>
        <xdr:cNvSpPr txBox="1"/>
      </xdr:nvSpPr>
      <xdr:spPr>
        <a:xfrm>
          <a:off x="8680450" y="577850"/>
          <a:ext cx="6146800" cy="2101850"/>
        </a:xfrm>
        <a:prstGeom prst="rect">
          <a:avLst/>
        </a:prstGeom>
        <a:solidFill>
          <a:schemeClr val="accent2">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dk1"/>
              </a:solidFill>
              <a:effectLst/>
              <a:latin typeface="+mn-lt"/>
              <a:ea typeface="+mn-ea"/>
              <a:cs typeface="+mn-cs"/>
              <a:sym typeface="Wingdings"/>
            </a:rPr>
            <a:t></a:t>
          </a:r>
          <a:r>
            <a:rPr lang="en-US" sz="1100" b="1">
              <a:solidFill>
                <a:schemeClr val="dk1"/>
              </a:solidFill>
              <a:effectLst/>
              <a:latin typeface="+mn-lt"/>
              <a:ea typeface="+mn-ea"/>
              <a:cs typeface="+mn-cs"/>
            </a:rPr>
            <a:t>Click on BUY NOW button </a:t>
          </a:r>
          <a:r>
            <a:rPr lang="en-US" sz="1100">
              <a:solidFill>
                <a:schemeClr val="dk1"/>
              </a:solidFill>
              <a:effectLst/>
              <a:latin typeface="+mn-lt"/>
              <a:ea typeface="+mn-ea"/>
              <a:cs typeface="+mn-cs"/>
            </a:rPr>
            <a:t>to bring you to paypal website. You don't need to open a paypal account. You can pay with or without paypal account using paypal balance or credit card.</a:t>
          </a:r>
        </a:p>
        <a:p>
          <a:endParaRPr lang="en-US">
            <a:effectLst/>
          </a:endParaRPr>
        </a:p>
        <a:p>
          <a:r>
            <a:rPr lang="en-US" sz="1100">
              <a:solidFill>
                <a:schemeClr val="dk1"/>
              </a:solidFill>
              <a:effectLst/>
              <a:latin typeface="+mn-lt"/>
              <a:ea typeface="+mn-ea"/>
              <a:cs typeface="+mn-cs"/>
              <a:sym typeface="Wingdings"/>
            </a:rPr>
            <a:t></a:t>
          </a:r>
          <a:r>
            <a:rPr lang="en-US" sz="1100">
              <a:solidFill>
                <a:schemeClr val="dk1"/>
              </a:solidFill>
              <a:effectLst/>
              <a:latin typeface="+mn-lt"/>
              <a:ea typeface="+mn-ea"/>
              <a:cs typeface="+mn-cs"/>
            </a:rPr>
            <a:t>After successful transaction</a:t>
          </a:r>
          <a:r>
            <a:rPr lang="en-US" sz="1100" b="1">
              <a:solidFill>
                <a:schemeClr val="dk1"/>
              </a:solidFill>
              <a:effectLst/>
              <a:latin typeface="+mn-lt"/>
              <a:ea typeface="+mn-ea"/>
              <a:cs typeface="+mn-cs"/>
            </a:rPr>
            <a:t>, you will receive an email to download the file </a:t>
          </a:r>
          <a:r>
            <a:rPr lang="en-US" sz="1100">
              <a:solidFill>
                <a:schemeClr val="dk1"/>
              </a:solidFill>
              <a:effectLst/>
              <a:latin typeface="+mn-lt"/>
              <a:ea typeface="+mn-ea"/>
              <a:cs typeface="+mn-cs"/>
            </a:rPr>
            <a:t>to your paypal email address automatically</a:t>
          </a:r>
        </a:p>
        <a:p>
          <a:endParaRPr lang="en-US">
            <a:effectLst/>
          </a:endParaRPr>
        </a:p>
        <a:p>
          <a:r>
            <a:rPr lang="en-US" sz="1100">
              <a:solidFill>
                <a:schemeClr val="dk1"/>
              </a:solidFill>
              <a:effectLst/>
              <a:latin typeface="+mn-lt"/>
              <a:ea typeface="+mn-ea"/>
              <a:cs typeface="+mn-cs"/>
              <a:sym typeface="Wingdings"/>
            </a:rPr>
            <a:t></a:t>
          </a:r>
          <a:r>
            <a:rPr lang="en-US" sz="1100" b="1">
              <a:solidFill>
                <a:schemeClr val="dk1"/>
              </a:solidFill>
              <a:effectLst/>
              <a:latin typeface="+mn-lt"/>
              <a:ea typeface="+mn-ea"/>
              <a:cs typeface="+mn-cs"/>
            </a:rPr>
            <a:t>Check your SPAM folder</a:t>
          </a:r>
          <a:r>
            <a:rPr lang="en-US" sz="1100">
              <a:solidFill>
                <a:schemeClr val="dk1"/>
              </a:solidFill>
              <a:effectLst/>
              <a:latin typeface="+mn-lt"/>
              <a:ea typeface="+mn-ea"/>
              <a:cs typeface="+mn-cs"/>
            </a:rPr>
            <a:t> </a:t>
          </a:r>
          <a:r>
            <a:rPr lang="en-US" sz="1100" b="1">
              <a:solidFill>
                <a:schemeClr val="dk1"/>
              </a:solidFill>
              <a:effectLst/>
              <a:latin typeface="+mn-lt"/>
              <a:ea typeface="+mn-ea"/>
              <a:cs typeface="+mn-cs"/>
            </a:rPr>
            <a:t>if you don't receive the email in your inbox folder </a:t>
          </a:r>
          <a:r>
            <a:rPr lang="en-US" sz="1100">
              <a:solidFill>
                <a:schemeClr val="dk1"/>
              </a:solidFill>
              <a:effectLst/>
              <a:latin typeface="+mn-lt"/>
              <a:ea typeface="+mn-ea"/>
              <a:cs typeface="+mn-cs"/>
            </a:rPr>
            <a:t>after 15 minutes. Sometimes, security of your email system will direct the email that contains link to spam folder</a:t>
          </a:r>
        </a:p>
        <a:p>
          <a:endParaRPr lang="en-US">
            <a:effectLst/>
          </a:endParaRPr>
        </a:p>
        <a:p>
          <a:r>
            <a:rPr lang="en-US" sz="1100">
              <a:solidFill>
                <a:schemeClr val="dk1"/>
              </a:solidFill>
              <a:effectLst/>
              <a:latin typeface="+mn-lt"/>
              <a:ea typeface="+mn-ea"/>
              <a:cs typeface="+mn-cs"/>
              <a:sym typeface="Wingdings"/>
            </a:rPr>
            <a:t></a:t>
          </a:r>
          <a:r>
            <a:rPr lang="en-US" sz="1100">
              <a:solidFill>
                <a:schemeClr val="dk1"/>
              </a:solidFill>
              <a:effectLst/>
              <a:latin typeface="+mn-lt"/>
              <a:ea typeface="+mn-ea"/>
              <a:cs typeface="+mn-cs"/>
            </a:rPr>
            <a:t>Email us at </a:t>
          </a:r>
          <a:r>
            <a:rPr lang="en-US" sz="1100" b="1">
              <a:solidFill>
                <a:schemeClr val="dk1"/>
              </a:solidFill>
              <a:effectLst/>
              <a:latin typeface="+mn-lt"/>
              <a:ea typeface="+mn-ea"/>
              <a:cs typeface="+mn-cs"/>
            </a:rPr>
            <a:t>support@journalsheet.com</a:t>
          </a:r>
          <a:r>
            <a:rPr lang="en-US" sz="1100">
              <a:solidFill>
                <a:schemeClr val="dk1"/>
              </a:solidFill>
              <a:effectLst/>
              <a:latin typeface="+mn-lt"/>
              <a:ea typeface="+mn-ea"/>
              <a:cs typeface="+mn-cs"/>
            </a:rPr>
            <a:t> if you still don't receive it or you have issue on downloading the file</a:t>
          </a:r>
          <a:endParaRPr lang="en-US">
            <a:effectLst/>
          </a:endParaRPr>
        </a:p>
        <a:p>
          <a:endParaRPr lang="en-US" sz="1100"/>
        </a:p>
      </xdr:txBody>
    </xdr:sp>
    <xdr:clientData/>
  </xdr:twoCellAnchor>
  <xdr:twoCellAnchor>
    <xdr:from>
      <xdr:col>11</xdr:col>
      <xdr:colOff>838200</xdr:colOff>
      <xdr:row>3</xdr:row>
      <xdr:rowOff>12700</xdr:rowOff>
    </xdr:from>
    <xdr:to>
      <xdr:col>12</xdr:col>
      <xdr:colOff>196850</xdr:colOff>
      <xdr:row>5</xdr:row>
      <xdr:rowOff>12700</xdr:rowOff>
    </xdr:to>
    <xdr:sp macro="" textlink="">
      <xdr:nvSpPr>
        <xdr:cNvPr id="4" name="Chevron 3">
          <a:extLst>
            <a:ext uri="{FF2B5EF4-FFF2-40B4-BE49-F238E27FC236}">
              <a16:creationId xmlns:a16="http://schemas.microsoft.com/office/drawing/2014/main" id="{00000000-0008-0000-0500-000004000000}"/>
            </a:ext>
          </a:extLst>
        </xdr:cNvPr>
        <xdr:cNvSpPr/>
      </xdr:nvSpPr>
      <xdr:spPr>
        <a:xfrm flipH="1">
          <a:off x="8439150" y="596900"/>
          <a:ext cx="311150" cy="552450"/>
        </a:xfrm>
        <a:prstGeom prst="chevron">
          <a:avLst/>
        </a:prstGeom>
        <a:solidFill>
          <a:schemeClr val="accent2">
            <a:lumMod val="50000"/>
          </a:schemeClr>
        </a:solidFill>
        <a:ln>
          <a:solidFill>
            <a:schemeClr val="accent2">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copaamerica.com/wp-content/uploads/CA2024-Reglamento_2023.11-ENG.pdf"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https://copaamerica.com/en/match-schedule/"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5.bin"/><Relationship Id="rId1" Type="http://schemas.openxmlformats.org/officeDocument/2006/relationships/hyperlink" Target="https://journalsheet.com/product-category/sport-spreadsheet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DA79"/>
  <sheetViews>
    <sheetView showGridLines="0" workbookViewId="0">
      <pane ySplit="7" topLeftCell="A8" activePane="bottomLeft" state="frozen"/>
      <selection pane="bottomLeft" activeCell="K22" sqref="K22"/>
    </sheetView>
  </sheetViews>
  <sheetFormatPr defaultColWidth="8.85546875" defaultRowHeight="15" x14ac:dyDescent="0.2"/>
  <cols>
    <col min="1" max="1" width="1.5703125" style="2" customWidth="1"/>
    <col min="2" max="2" width="35.85546875" style="6" bestFit="1" customWidth="1"/>
    <col min="3" max="3" width="29.5703125" style="2" customWidth="1"/>
    <col min="4" max="4" width="3.140625" style="174" customWidth="1"/>
    <col min="5" max="5" width="10.5703125" style="13" customWidth="1"/>
    <col min="6" max="6" width="8.85546875" style="2" customWidth="1"/>
    <col min="7" max="7" width="1.5703125" style="2" customWidth="1"/>
    <col min="8" max="8" width="0.85546875" style="64" customWidth="1"/>
    <col min="9" max="9" width="1.5703125" style="2" customWidth="1"/>
    <col min="10" max="10" width="2.5703125" style="2" customWidth="1"/>
    <col min="11" max="11" width="24.5703125" style="2" customWidth="1"/>
    <col min="12" max="12" width="10.28515625" style="2" customWidth="1"/>
    <col min="13" max="22" width="8.85546875" style="2"/>
    <col min="23" max="23" width="16.42578125" style="2" customWidth="1"/>
    <col min="24" max="16384" width="8.85546875" style="2"/>
  </cols>
  <sheetData>
    <row r="1" spans="1:105" s="156" customFormat="1" ht="5.45" customHeight="1" x14ac:dyDescent="0.25">
      <c r="B1" s="160"/>
      <c r="C1" s="157"/>
      <c r="D1" s="172"/>
      <c r="E1" s="159"/>
      <c r="F1" s="159"/>
      <c r="I1" s="159"/>
      <c r="J1" s="160"/>
      <c r="K1" s="160"/>
      <c r="L1" s="160"/>
      <c r="T1" s="161"/>
      <c r="U1" s="161"/>
      <c r="V1" s="161"/>
      <c r="W1" s="161"/>
      <c r="X1" s="161"/>
      <c r="Y1" s="161"/>
      <c r="Z1" s="162"/>
      <c r="AA1" s="162"/>
      <c r="AB1" s="162"/>
      <c r="AC1" s="163"/>
      <c r="AD1" s="164"/>
      <c r="AE1" s="165"/>
      <c r="CX1" s="161"/>
      <c r="CY1" s="161"/>
      <c r="CZ1" s="161"/>
      <c r="DA1" s="161"/>
    </row>
    <row r="2" spans="1:105" ht="36" x14ac:dyDescent="0.2">
      <c r="B2" s="3" t="s">
        <v>0</v>
      </c>
      <c r="C2" s="4"/>
      <c r="D2" s="173"/>
      <c r="E2" s="5"/>
      <c r="F2" s="5"/>
      <c r="I2" s="5"/>
      <c r="J2" s="6"/>
      <c r="K2" s="6"/>
      <c r="L2" s="6"/>
      <c r="N2" s="7"/>
      <c r="O2" s="7"/>
      <c r="P2" s="7"/>
      <c r="Q2" s="7"/>
      <c r="R2" s="7"/>
      <c r="S2" s="7"/>
      <c r="T2" s="7"/>
      <c r="U2" s="7"/>
      <c r="Z2" s="8"/>
      <c r="AA2" s="8"/>
      <c r="AB2" s="8"/>
      <c r="AC2" s="9"/>
      <c r="AD2" s="10"/>
      <c r="AE2" s="11"/>
      <c r="CX2" s="12"/>
      <c r="CY2" s="12"/>
      <c r="CZ2" s="12"/>
      <c r="DA2" s="12"/>
    </row>
    <row r="3" spans="1:105" ht="5.0999999999999996" customHeight="1" x14ac:dyDescent="0.2"/>
    <row r="4" spans="1:105" ht="15" customHeight="1" x14ac:dyDescent="0.2">
      <c r="B4" s="145" t="s">
        <v>474</v>
      </c>
      <c r="C4" s="62">
        <v>0</v>
      </c>
      <c r="E4" s="170"/>
      <c r="F4" s="171"/>
      <c r="J4" s="66" t="s">
        <v>364</v>
      </c>
      <c r="K4" s="2" t="s">
        <v>365</v>
      </c>
    </row>
    <row r="5" spans="1:105" ht="15" customHeight="1" x14ac:dyDescent="0.2">
      <c r="B5" s="145" t="s">
        <v>362</v>
      </c>
      <c r="C5" s="63" t="s">
        <v>1</v>
      </c>
      <c r="E5" s="211" t="s">
        <v>2</v>
      </c>
      <c r="F5" s="213" t="s">
        <v>472</v>
      </c>
      <c r="J5" s="66" t="s">
        <v>364</v>
      </c>
      <c r="K5" s="2" t="s">
        <v>429</v>
      </c>
    </row>
    <row r="6" spans="1:105" ht="15" customHeight="1" x14ac:dyDescent="0.2">
      <c r="B6" s="167" t="s">
        <v>363</v>
      </c>
      <c r="C6" s="14" t="s">
        <v>3</v>
      </c>
      <c r="E6" s="211"/>
      <c r="F6" s="213"/>
      <c r="K6" s="11" t="s">
        <v>366</v>
      </c>
    </row>
    <row r="7" spans="1:105" ht="15" customHeight="1" x14ac:dyDescent="0.2">
      <c r="A7" s="15"/>
      <c r="B7" s="168" t="s">
        <v>4</v>
      </c>
      <c r="C7" s="169" t="s">
        <v>5</v>
      </c>
      <c r="D7" s="175"/>
      <c r="E7" s="212"/>
      <c r="F7" s="214"/>
      <c r="J7" s="66" t="s">
        <v>364</v>
      </c>
      <c r="K7" s="2" t="s">
        <v>367</v>
      </c>
    </row>
    <row r="8" spans="1:105" ht="15" customHeight="1" x14ac:dyDescent="0.2">
      <c r="B8" s="16" t="s">
        <v>9</v>
      </c>
      <c r="C8" s="14"/>
      <c r="D8" s="176" t="s">
        <v>6</v>
      </c>
      <c r="E8" s="65">
        <v>1862</v>
      </c>
      <c r="F8" s="65"/>
      <c r="J8" s="67"/>
      <c r="K8" s="74" t="s">
        <v>414</v>
      </c>
    </row>
    <row r="9" spans="1:105" ht="15" customHeight="1" x14ac:dyDescent="0.2">
      <c r="B9" s="16" t="s">
        <v>431</v>
      </c>
      <c r="C9" s="14"/>
      <c r="D9" s="176" t="s">
        <v>6</v>
      </c>
      <c r="E9" s="17">
        <v>1533</v>
      </c>
      <c r="F9" s="17"/>
      <c r="J9" s="67" t="s">
        <v>364</v>
      </c>
      <c r="K9" s="11" t="s">
        <v>368</v>
      </c>
    </row>
    <row r="10" spans="1:105" ht="15" customHeight="1" thickBot="1" x14ac:dyDescent="0.25">
      <c r="B10" s="16" t="s">
        <v>432</v>
      </c>
      <c r="C10" s="14"/>
      <c r="D10" s="176" t="s">
        <v>6</v>
      </c>
      <c r="E10" s="17">
        <v>1504</v>
      </c>
      <c r="F10" s="17"/>
      <c r="J10" s="68" t="s">
        <v>369</v>
      </c>
      <c r="K10" s="69"/>
      <c r="L10" s="70" t="s">
        <v>378</v>
      </c>
      <c r="M10" s="186" t="s">
        <v>469</v>
      </c>
      <c r="N10" s="69"/>
      <c r="O10" s="69"/>
      <c r="P10" s="69"/>
      <c r="Q10" s="69"/>
      <c r="R10" s="69"/>
      <c r="S10" s="69"/>
      <c r="T10" s="69"/>
      <c r="U10" s="69"/>
      <c r="V10" s="69"/>
      <c r="W10" s="69"/>
    </row>
    <row r="11" spans="1:105" ht="15" customHeight="1" x14ac:dyDescent="0.2">
      <c r="B11" s="16" t="s">
        <v>475</v>
      </c>
      <c r="C11" s="14"/>
      <c r="D11" s="176" t="s">
        <v>6</v>
      </c>
      <c r="E11" s="17">
        <v>1455</v>
      </c>
      <c r="F11" s="17"/>
      <c r="J11" s="2" t="s">
        <v>377</v>
      </c>
    </row>
    <row r="12" spans="1:105" ht="15" customHeight="1" x14ac:dyDescent="0.2">
      <c r="B12" s="16" t="s">
        <v>10</v>
      </c>
      <c r="C12" s="14"/>
      <c r="D12" s="176" t="s">
        <v>6</v>
      </c>
      <c r="E12" s="17">
        <v>1664</v>
      </c>
      <c r="F12" s="17"/>
      <c r="J12" s="13">
        <v>1</v>
      </c>
      <c r="K12" s="2" t="s">
        <v>370</v>
      </c>
    </row>
    <row r="13" spans="1:105" ht="15" customHeight="1" x14ac:dyDescent="0.2">
      <c r="B13" s="16" t="s">
        <v>7</v>
      </c>
      <c r="C13" s="14"/>
      <c r="D13" s="176" t="s">
        <v>6</v>
      </c>
      <c r="E13" s="17">
        <v>1508</v>
      </c>
      <c r="F13" s="17"/>
      <c r="J13" s="13">
        <v>2</v>
      </c>
      <c r="K13" s="2" t="s">
        <v>371</v>
      </c>
    </row>
    <row r="14" spans="1:105" ht="15" customHeight="1" x14ac:dyDescent="0.2">
      <c r="B14" s="16" t="s">
        <v>433</v>
      </c>
      <c r="C14" s="14"/>
      <c r="D14" s="176" t="s">
        <v>6</v>
      </c>
      <c r="E14" s="17">
        <v>1446</v>
      </c>
      <c r="F14" s="17"/>
      <c r="J14" s="13">
        <v>3</v>
      </c>
      <c r="K14" s="2" t="s">
        <v>372</v>
      </c>
    </row>
    <row r="15" spans="1:105" ht="15" customHeight="1" x14ac:dyDescent="0.2">
      <c r="B15" s="16" t="s">
        <v>434</v>
      </c>
      <c r="C15" s="14"/>
      <c r="D15" s="176" t="s">
        <v>6</v>
      </c>
      <c r="E15" s="17">
        <v>1422</v>
      </c>
      <c r="F15" s="17"/>
      <c r="J15" s="13">
        <v>4</v>
      </c>
      <c r="K15" s="2" t="s">
        <v>373</v>
      </c>
    </row>
    <row r="16" spans="1:105" ht="15" customHeight="1" x14ac:dyDescent="0.2">
      <c r="B16" s="16" t="s">
        <v>8</v>
      </c>
      <c r="C16" s="14"/>
      <c r="D16" s="176" t="s">
        <v>6</v>
      </c>
      <c r="E16" s="17">
        <v>1676</v>
      </c>
      <c r="F16" s="17"/>
      <c r="J16" s="13">
        <v>5</v>
      </c>
      <c r="K16" s="2" t="s">
        <v>374</v>
      </c>
    </row>
    <row r="17" spans="2:11" ht="15" customHeight="1" x14ac:dyDescent="0.2">
      <c r="B17" s="16" t="s">
        <v>12</v>
      </c>
      <c r="C17" s="14"/>
      <c r="D17" s="176" t="s">
        <v>6</v>
      </c>
      <c r="E17" s="17">
        <v>1644</v>
      </c>
      <c r="F17" s="17"/>
      <c r="J17" s="13">
        <v>6</v>
      </c>
      <c r="K17" s="2" t="s">
        <v>375</v>
      </c>
    </row>
    <row r="18" spans="2:11" ht="15" customHeight="1" x14ac:dyDescent="0.2">
      <c r="B18" s="16" t="s">
        <v>435</v>
      </c>
      <c r="C18" s="14"/>
      <c r="D18" s="176" t="s">
        <v>6</v>
      </c>
      <c r="E18" s="17">
        <v>1461</v>
      </c>
      <c r="F18" s="17"/>
      <c r="J18" s="13">
        <v>7</v>
      </c>
      <c r="K18" s="2" t="s">
        <v>470</v>
      </c>
    </row>
    <row r="19" spans="2:11" ht="15" customHeight="1" x14ac:dyDescent="0.2">
      <c r="B19" s="16" t="s">
        <v>436</v>
      </c>
      <c r="C19" s="14"/>
      <c r="D19" s="176" t="s">
        <v>6</v>
      </c>
      <c r="E19" s="17">
        <v>1271</v>
      </c>
      <c r="F19" s="17"/>
      <c r="J19" s="13">
        <v>8</v>
      </c>
      <c r="K19" s="2" t="s">
        <v>471</v>
      </c>
    </row>
    <row r="20" spans="2:11" ht="15" customHeight="1" x14ac:dyDescent="0.2">
      <c r="B20" s="16" t="s">
        <v>11</v>
      </c>
      <c r="C20" s="14"/>
      <c r="D20" s="176" t="s">
        <v>6</v>
      </c>
      <c r="E20" s="17">
        <v>1812</v>
      </c>
      <c r="F20" s="17"/>
      <c r="J20" s="13">
        <v>8</v>
      </c>
      <c r="K20" s="2" t="s">
        <v>376</v>
      </c>
    </row>
    <row r="21" spans="2:11" ht="15" customHeight="1" x14ac:dyDescent="0.2">
      <c r="B21" s="16" t="s">
        <v>437</v>
      </c>
      <c r="C21" s="14"/>
      <c r="D21" s="176" t="s">
        <v>6</v>
      </c>
      <c r="E21" s="17">
        <v>1627</v>
      </c>
      <c r="F21" s="17"/>
    </row>
    <row r="22" spans="2:11" ht="15" customHeight="1" x14ac:dyDescent="0.2">
      <c r="B22" s="16" t="s">
        <v>438</v>
      </c>
      <c r="C22" s="14"/>
      <c r="D22" s="176" t="s">
        <v>6</v>
      </c>
      <c r="E22" s="17">
        <v>1437</v>
      </c>
      <c r="F22" s="17"/>
    </row>
    <row r="23" spans="2:11" ht="15" customHeight="1" x14ac:dyDescent="0.2">
      <c r="B23" s="16" t="s">
        <v>476</v>
      </c>
      <c r="C23" s="14"/>
      <c r="D23" s="176" t="s">
        <v>6</v>
      </c>
      <c r="E23" s="17">
        <v>1452</v>
      </c>
      <c r="F23" s="17"/>
    </row>
    <row r="24" spans="2:11" ht="15" customHeight="1" x14ac:dyDescent="0.2">
      <c r="B24" s="16" t="s">
        <v>13</v>
      </c>
      <c r="C24" s="14"/>
      <c r="E24" s="18" t="s">
        <v>468</v>
      </c>
    </row>
    <row r="25" spans="2:11" ht="15" customHeight="1" x14ac:dyDescent="0.2">
      <c r="B25" s="16" t="s">
        <v>14</v>
      </c>
      <c r="C25" s="14"/>
    </row>
    <row r="26" spans="2:11" ht="15" customHeight="1" x14ac:dyDescent="0.2">
      <c r="B26" s="16" t="s">
        <v>15</v>
      </c>
      <c r="C26" s="14"/>
    </row>
    <row r="27" spans="2:11" ht="15" customHeight="1" x14ac:dyDescent="0.2">
      <c r="B27" s="16" t="s">
        <v>16</v>
      </c>
      <c r="C27" s="14"/>
    </row>
    <row r="28" spans="2:11" ht="15" customHeight="1" x14ac:dyDescent="0.2">
      <c r="B28" s="16" t="s">
        <v>17</v>
      </c>
      <c r="C28" s="14"/>
    </row>
    <row r="29" spans="2:11" ht="15" customHeight="1" x14ac:dyDescent="0.2">
      <c r="B29" s="16" t="s">
        <v>18</v>
      </c>
      <c r="C29" s="14"/>
    </row>
    <row r="30" spans="2:11" ht="15" customHeight="1" x14ac:dyDescent="0.2">
      <c r="B30" s="16" t="s">
        <v>19</v>
      </c>
      <c r="C30" s="14"/>
    </row>
    <row r="31" spans="2:11" ht="15" customHeight="1" x14ac:dyDescent="0.2">
      <c r="B31" s="16" t="s">
        <v>20</v>
      </c>
      <c r="C31" s="14"/>
    </row>
    <row r="32" spans="2:11" ht="15" customHeight="1" x14ac:dyDescent="0.2">
      <c r="B32" s="16" t="s">
        <v>21</v>
      </c>
      <c r="C32" s="14"/>
    </row>
    <row r="33" spans="2:3" ht="15" customHeight="1" x14ac:dyDescent="0.2">
      <c r="B33" s="16" t="s">
        <v>22</v>
      </c>
      <c r="C33" s="14"/>
    </row>
    <row r="34" spans="2:3" ht="15" customHeight="1" x14ac:dyDescent="0.2">
      <c r="B34" s="16" t="s">
        <v>23</v>
      </c>
      <c r="C34" s="14"/>
    </row>
    <row r="35" spans="2:3" ht="15" customHeight="1" x14ac:dyDescent="0.2">
      <c r="B35" s="16" t="s">
        <v>24</v>
      </c>
      <c r="C35" s="14"/>
    </row>
    <row r="36" spans="2:3" ht="15" customHeight="1" x14ac:dyDescent="0.2">
      <c r="B36" s="16" t="s">
        <v>25</v>
      </c>
      <c r="C36" s="14"/>
    </row>
    <row r="37" spans="2:3" ht="15" customHeight="1" x14ac:dyDescent="0.2">
      <c r="B37" s="16" t="s">
        <v>26</v>
      </c>
      <c r="C37" s="14"/>
    </row>
    <row r="38" spans="2:3" ht="15" customHeight="1" x14ac:dyDescent="0.2">
      <c r="B38" s="16" t="s">
        <v>27</v>
      </c>
      <c r="C38" s="14"/>
    </row>
    <row r="39" spans="2:3" ht="15" customHeight="1" x14ac:dyDescent="0.2">
      <c r="B39" s="16" t="s">
        <v>28</v>
      </c>
      <c r="C39" s="14"/>
    </row>
    <row r="40" spans="2:3" ht="15" customHeight="1" x14ac:dyDescent="0.2">
      <c r="B40" s="16" t="s">
        <v>29</v>
      </c>
      <c r="C40" s="14"/>
    </row>
    <row r="41" spans="2:3" ht="15" customHeight="1" x14ac:dyDescent="0.2">
      <c r="B41" s="16" t="s">
        <v>415</v>
      </c>
      <c r="C41" s="14"/>
    </row>
    <row r="42" spans="2:3" ht="15" customHeight="1" x14ac:dyDescent="0.2">
      <c r="B42" s="16" t="s">
        <v>30</v>
      </c>
      <c r="C42" s="14"/>
    </row>
    <row r="43" spans="2:3" ht="15" customHeight="1" x14ac:dyDescent="0.2">
      <c r="B43" s="16" t="s">
        <v>31</v>
      </c>
      <c r="C43" s="14"/>
    </row>
    <row r="44" spans="2:3" ht="15" customHeight="1" x14ac:dyDescent="0.2">
      <c r="B44" s="16" t="s">
        <v>32</v>
      </c>
      <c r="C44" s="14"/>
    </row>
    <row r="45" spans="2:3" ht="15" customHeight="1" x14ac:dyDescent="0.2">
      <c r="B45" s="16" t="s">
        <v>33</v>
      </c>
      <c r="C45" s="14"/>
    </row>
    <row r="46" spans="2:3" ht="15" customHeight="1" x14ac:dyDescent="0.2">
      <c r="B46" s="16" t="s">
        <v>34</v>
      </c>
      <c r="C46" s="14"/>
    </row>
    <row r="47" spans="2:3" ht="15" customHeight="1" x14ac:dyDescent="0.2">
      <c r="B47" s="16" t="s">
        <v>35</v>
      </c>
      <c r="C47" s="14"/>
    </row>
    <row r="48" spans="2:3" ht="15" customHeight="1" x14ac:dyDescent="0.2">
      <c r="B48" s="16" t="s">
        <v>36</v>
      </c>
      <c r="C48" s="14"/>
    </row>
    <row r="49" spans="2:3" ht="15" customHeight="1" x14ac:dyDescent="0.2">
      <c r="B49" s="16" t="s">
        <v>37</v>
      </c>
      <c r="C49" s="14"/>
    </row>
    <row r="50" spans="2:3" ht="15" customHeight="1" x14ac:dyDescent="0.2">
      <c r="B50" s="16" t="s">
        <v>38</v>
      </c>
      <c r="C50" s="14"/>
    </row>
    <row r="51" spans="2:3" ht="15" customHeight="1" x14ac:dyDescent="0.2">
      <c r="B51" s="16" t="s">
        <v>39</v>
      </c>
      <c r="C51" s="14"/>
    </row>
    <row r="52" spans="2:3" ht="15" customHeight="1" x14ac:dyDescent="0.2">
      <c r="B52" s="16" t="s">
        <v>40</v>
      </c>
      <c r="C52" s="14"/>
    </row>
    <row r="53" spans="2:3" ht="15" customHeight="1" x14ac:dyDescent="0.2">
      <c r="B53" s="16" t="s">
        <v>439</v>
      </c>
      <c r="C53" s="14"/>
    </row>
    <row r="54" spans="2:3" ht="15" customHeight="1" x14ac:dyDescent="0.2">
      <c r="B54" s="16" t="s">
        <v>440</v>
      </c>
      <c r="C54" s="14"/>
    </row>
    <row r="55" spans="2:3" ht="15" customHeight="1" x14ac:dyDescent="0.2">
      <c r="B55" s="16" t="s">
        <v>441</v>
      </c>
      <c r="C55" s="14"/>
    </row>
    <row r="56" spans="2:3" ht="15" customHeight="1" x14ac:dyDescent="0.2">
      <c r="B56" s="16" t="s">
        <v>442</v>
      </c>
      <c r="C56" s="14"/>
    </row>
    <row r="57" spans="2:3" ht="15" customHeight="1" x14ac:dyDescent="0.2">
      <c r="B57" s="16" t="s">
        <v>443</v>
      </c>
      <c r="C57" s="14"/>
    </row>
    <row r="58" spans="2:3" ht="15" customHeight="1" x14ac:dyDescent="0.2">
      <c r="B58" s="16" t="s">
        <v>444</v>
      </c>
      <c r="C58" s="14"/>
    </row>
    <row r="59" spans="2:3" ht="15" customHeight="1" x14ac:dyDescent="0.2">
      <c r="B59" s="16" t="s">
        <v>445</v>
      </c>
      <c r="C59" s="14"/>
    </row>
    <row r="60" spans="2:3" ht="15" customHeight="1" x14ac:dyDescent="0.2">
      <c r="B60" s="16" t="s">
        <v>446</v>
      </c>
      <c r="C60" s="14"/>
    </row>
    <row r="61" spans="2:3" ht="15" customHeight="1" x14ac:dyDescent="0.2">
      <c r="B61" s="16" t="s">
        <v>41</v>
      </c>
      <c r="C61" s="14"/>
    </row>
    <row r="62" spans="2:3" ht="15" customHeight="1" x14ac:dyDescent="0.2">
      <c r="B62" s="16" t="s">
        <v>42</v>
      </c>
      <c r="C62" s="14"/>
    </row>
    <row r="63" spans="2:3" ht="15" customHeight="1" x14ac:dyDescent="0.2">
      <c r="B63" s="16" t="s">
        <v>43</v>
      </c>
      <c r="C63" s="14"/>
    </row>
    <row r="64" spans="2:3" ht="15" customHeight="1" x14ac:dyDescent="0.2">
      <c r="B64" s="16" t="s">
        <v>44</v>
      </c>
      <c r="C64" s="14"/>
    </row>
    <row r="65" spans="2:3" ht="15" customHeight="1" x14ac:dyDescent="0.2">
      <c r="B65" s="16" t="s">
        <v>45</v>
      </c>
      <c r="C65" s="14"/>
    </row>
    <row r="66" spans="2:3" ht="15" customHeight="1" x14ac:dyDescent="0.2">
      <c r="B66" s="16" t="s">
        <v>46</v>
      </c>
      <c r="C66" s="14"/>
    </row>
    <row r="67" spans="2:3" ht="15" customHeight="1" x14ac:dyDescent="0.2">
      <c r="B67" s="16" t="s">
        <v>47</v>
      </c>
      <c r="C67" s="14"/>
    </row>
    <row r="68" spans="2:3" ht="15" customHeight="1" x14ac:dyDescent="0.2">
      <c r="B68" s="16" t="s">
        <v>48</v>
      </c>
      <c r="C68" s="14"/>
    </row>
    <row r="69" spans="2:3" ht="15" customHeight="1" x14ac:dyDescent="0.2">
      <c r="B69" s="16" t="s">
        <v>49</v>
      </c>
      <c r="C69" s="14"/>
    </row>
    <row r="70" spans="2:3" ht="15" customHeight="1" x14ac:dyDescent="0.2">
      <c r="B70" s="16" t="s">
        <v>50</v>
      </c>
      <c r="C70" s="14"/>
    </row>
    <row r="71" spans="2:3" ht="15" customHeight="1" x14ac:dyDescent="0.2">
      <c r="B71" s="16" t="s">
        <v>51</v>
      </c>
      <c r="C71" s="14"/>
    </row>
    <row r="72" spans="2:3" ht="15" customHeight="1" x14ac:dyDescent="0.2">
      <c r="B72" s="16" t="s">
        <v>52</v>
      </c>
      <c r="C72" s="14"/>
    </row>
    <row r="73" spans="2:3" ht="15" customHeight="1" x14ac:dyDescent="0.2">
      <c r="B73" s="16" t="s">
        <v>447</v>
      </c>
      <c r="C73" s="14"/>
    </row>
    <row r="74" spans="2:3" ht="15" customHeight="1" x14ac:dyDescent="0.2">
      <c r="B74" s="16" t="s">
        <v>448</v>
      </c>
      <c r="C74" s="14"/>
    </row>
    <row r="75" spans="2:3" ht="15" customHeight="1" x14ac:dyDescent="0.2">
      <c r="B75" s="16" t="s">
        <v>53</v>
      </c>
      <c r="C75" s="14"/>
    </row>
    <row r="76" spans="2:3" ht="15" customHeight="1" x14ac:dyDescent="0.2">
      <c r="B76" s="16" t="s">
        <v>449</v>
      </c>
      <c r="C76" s="14"/>
    </row>
    <row r="77" spans="2:3" ht="15" customHeight="1" x14ac:dyDescent="0.2">
      <c r="B77" s="16" t="s">
        <v>450</v>
      </c>
      <c r="C77" s="14"/>
    </row>
    <row r="78" spans="2:3" x14ac:dyDescent="0.2">
      <c r="B78" s="16" t="s">
        <v>451</v>
      </c>
      <c r="C78" s="14"/>
    </row>
    <row r="79" spans="2:3" x14ac:dyDescent="0.2">
      <c r="B79" s="16" t="s">
        <v>452</v>
      </c>
      <c r="C79" s="14"/>
    </row>
  </sheetData>
  <sheetProtection sheet="1" formatCells="0" formatColumns="0" formatRows="0"/>
  <mergeCells count="2">
    <mergeCell ref="E5:E7"/>
    <mergeCell ref="F5:F7"/>
  </mergeCells>
  <dataValidations count="2">
    <dataValidation type="list" allowBlank="1" showInputMessage="1" showErrorMessage="1" sqref="C4" xr:uid="{00000000-0002-0000-0000-000000000000}">
      <formula1>TimeZoneList</formula1>
    </dataValidation>
    <dataValidation type="list" allowBlank="1" showInputMessage="1" showErrorMessage="1" sqref="C5" xr:uid="{00000000-0002-0000-0000-000001000000}">
      <formula1>Countries</formula1>
    </dataValidation>
  </dataValidations>
  <hyperlinks>
    <hyperlink ref="M10" r:id="rId1" xr:uid="{8A93AAB0-6F5E-403D-B33B-A9B1E49880D4}"/>
  </hyperlinks>
  <pageMargins left="0.2" right="0.2" top="0.25" bottom="0.25" header="0.3" footer="0.3"/>
  <pageSetup fitToHeight="0"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CR168"/>
  <sheetViews>
    <sheetView showGridLines="0" tabSelected="1" zoomScaleNormal="100" workbookViewId="0">
      <pane ySplit="3" topLeftCell="A4" activePane="bottomLeft" state="frozen"/>
      <selection activeCell="H10" sqref="H10"/>
      <selection pane="bottomLeft" activeCell="AB23" sqref="AB23"/>
    </sheetView>
  </sheetViews>
  <sheetFormatPr defaultColWidth="9.140625" defaultRowHeight="15" zeroHeight="1" x14ac:dyDescent="0.25"/>
  <cols>
    <col min="1" max="1" width="1.5703125" style="46" customWidth="1"/>
    <col min="2" max="2" width="3.5703125" style="46" customWidth="1"/>
    <col min="3" max="3" width="5.5703125" style="46" customWidth="1"/>
    <col min="4" max="4" width="6.5703125" style="55" customWidth="1"/>
    <col min="5" max="5" width="6.85546875" style="46" customWidth="1"/>
    <col min="6" max="6" width="18.5703125" style="56" customWidth="1"/>
    <col min="7" max="7" width="1.5703125" style="56" customWidth="1"/>
    <col min="8" max="9" width="3.140625" style="46" customWidth="1"/>
    <col min="10" max="10" width="1.5703125" style="56" customWidth="1"/>
    <col min="11" max="11" width="18.5703125" style="57" customWidth="1"/>
    <col min="12" max="13" width="3.140625" style="57" customWidth="1"/>
    <col min="14" max="14" width="32.7109375" style="46" customWidth="1"/>
    <col min="15" max="15" width="0.85546875" style="46" customWidth="1"/>
    <col min="16" max="16" width="2.5703125" style="46" customWidth="1"/>
    <col min="17" max="17" width="15.5703125" style="46" customWidth="1"/>
    <col min="18" max="21" width="2.5703125" style="23" customWidth="1"/>
    <col min="22" max="22" width="6.5703125" style="23" customWidth="1"/>
    <col min="23" max="23" width="3.5703125" style="23" customWidth="1"/>
    <col min="24" max="24" width="1.5703125" style="58" customWidth="1"/>
    <col min="25" max="25" width="0.85546875" style="1" customWidth="1"/>
    <col min="26" max="26" width="1.5703125" style="46" customWidth="1"/>
    <col min="27" max="27" width="2.5703125" style="46" customWidth="1"/>
    <col min="28" max="28" width="14.140625" style="46" customWidth="1"/>
    <col min="29" max="29" width="1.140625" style="46" customWidth="1"/>
    <col min="30" max="30" width="5.7109375" style="46" customWidth="1"/>
    <col min="31" max="92" width="9.140625" style="46" customWidth="1"/>
    <col min="93" max="96" width="9.140625" style="23" customWidth="1"/>
    <col min="97" max="16384" width="9.140625" style="46"/>
  </cols>
  <sheetData>
    <row r="1" spans="2:96" s="156" customFormat="1" ht="5.0999999999999996" customHeight="1" x14ac:dyDescent="0.25">
      <c r="D1" s="157"/>
      <c r="E1" s="158"/>
      <c r="F1" s="159"/>
      <c r="G1" s="159"/>
      <c r="J1" s="159"/>
      <c r="K1" s="160"/>
      <c r="L1" s="160"/>
      <c r="M1" s="160"/>
      <c r="R1" s="161"/>
      <c r="S1" s="161"/>
      <c r="T1" s="161"/>
      <c r="U1" s="161"/>
      <c r="V1" s="161"/>
      <c r="W1" s="161"/>
      <c r="X1" s="162"/>
      <c r="Y1" s="162"/>
      <c r="CO1" s="161"/>
      <c r="CP1" s="161"/>
      <c r="CQ1" s="161"/>
      <c r="CR1" s="161"/>
    </row>
    <row r="2" spans="2:96" s="2" customFormat="1" ht="36" customHeight="1" x14ac:dyDescent="0.2">
      <c r="B2" s="19" t="str">
        <f>UPPER(INDEX(Translation,MATCH("Copa America 2024 Fixtures",TransRef,0),MATCH(Setup!C5,LanguageRef,0)))</f>
        <v>COPA AMERICA 2024 FIXTURES</v>
      </c>
      <c r="D2" s="4"/>
      <c r="F2" s="5"/>
      <c r="G2" s="5"/>
      <c r="J2" s="5"/>
      <c r="K2" s="6"/>
      <c r="L2" s="6"/>
      <c r="M2" s="6"/>
      <c r="N2" s="6"/>
      <c r="O2" s="6"/>
      <c r="P2" s="231" t="s">
        <v>517</v>
      </c>
      <c r="Q2" s="231"/>
      <c r="R2" s="231"/>
      <c r="S2" s="231"/>
      <c r="T2" s="231"/>
      <c r="U2" s="231"/>
      <c r="V2" s="231"/>
      <c r="W2" s="231"/>
      <c r="X2" s="8"/>
      <c r="Y2" s="71"/>
      <c r="CO2" s="12"/>
      <c r="CP2" s="12"/>
      <c r="CQ2" s="12"/>
      <c r="CR2" s="12"/>
    </row>
    <row r="3" spans="2:96" s="21" customFormat="1" ht="14.45" customHeight="1" x14ac:dyDescent="0.25">
      <c r="B3" s="135" t="str">
        <f>INDEX(Translation,MATCH("Match #",TransRef,0),MATCH(Setup!C5,LanguageRef,0))</f>
        <v>Match #</v>
      </c>
      <c r="C3" s="136"/>
      <c r="D3" s="137" t="str">
        <f>INDEX(Translation,MATCH("Date",TransRef,0),MATCH(Setup!C5,LanguageRef,0))</f>
        <v>Date</v>
      </c>
      <c r="E3" s="136" t="str">
        <f>INDEX(Translation,MATCH("Time",TransRef,0),MATCH(Setup!C5,LanguageRef,0))</f>
        <v>Time</v>
      </c>
      <c r="F3" s="138" t="str">
        <f>INDEX(Translation,MATCH("Country",TransRef,0),MATCH(Setup!C5,LanguageRef,0))</f>
        <v>Country</v>
      </c>
      <c r="G3" s="138"/>
      <c r="H3" s="223" t="str">
        <f>INDEX(Translation,MATCH("Score",TransRef,0),MATCH(Setup!C5,LanguageRef,0))</f>
        <v>Score</v>
      </c>
      <c r="I3" s="223"/>
      <c r="J3" s="138"/>
      <c r="K3" s="139" t="str">
        <f>INDEX(Translation,MATCH("Country",TransRef,0),MATCH(Setup!C5,LanguageRef,0))</f>
        <v>Country</v>
      </c>
      <c r="L3" s="139"/>
      <c r="M3" s="139"/>
      <c r="N3" s="140" t="str">
        <f>INDEX(Translation,MATCH("Venue",TransRef,0),MATCH(Setup!C5,LanguageRef,0))</f>
        <v>Venue</v>
      </c>
      <c r="O3" s="20"/>
      <c r="P3" s="140" t="str">
        <f>INDEX(Translation,MATCH("Standings",TransRef,0),MATCH(Setup!C5,LanguageRef,0))</f>
        <v>Standings</v>
      </c>
      <c r="Q3" s="141"/>
      <c r="R3" s="141"/>
      <c r="S3" s="141"/>
      <c r="T3" s="141"/>
      <c r="U3" s="141"/>
      <c r="V3" s="141"/>
      <c r="W3" s="141"/>
      <c r="X3" s="8"/>
      <c r="Y3" s="71"/>
      <c r="CQ3" s="22"/>
    </row>
    <row r="4" spans="2:96" s="2" customFormat="1" ht="14.45" customHeight="1" x14ac:dyDescent="0.25">
      <c r="B4" s="142" t="str">
        <f>INDEX(Translation,MATCH("Group Stages",TransRef,0),MATCH(Setup!C5,LanguageRef,0))</f>
        <v>Group Stages</v>
      </c>
      <c r="C4" s="142"/>
      <c r="D4" s="143"/>
      <c r="E4" s="142"/>
      <c r="F4" s="144"/>
      <c r="G4" s="144"/>
      <c r="H4" s="142"/>
      <c r="I4" s="142"/>
      <c r="J4" s="144"/>
      <c r="K4" s="145"/>
      <c r="L4" s="145"/>
      <c r="M4" s="145"/>
      <c r="N4" s="146"/>
      <c r="O4" s="7"/>
      <c r="P4" s="224" t="str">
        <f>INDEX(Translation,MATCH("Group A",TransRef,0),MATCH(Setup!$C$5,LanguageRef,0))</f>
        <v>Group A</v>
      </c>
      <c r="Q4" s="224"/>
      <c r="R4" s="147" t="s">
        <v>54</v>
      </c>
      <c r="S4" s="147" t="s">
        <v>55</v>
      </c>
      <c r="T4" s="147" t="s">
        <v>56</v>
      </c>
      <c r="U4" s="147" t="s">
        <v>57</v>
      </c>
      <c r="V4" s="147" t="s">
        <v>58</v>
      </c>
      <c r="W4" s="147" t="s">
        <v>59</v>
      </c>
      <c r="X4" s="8"/>
      <c r="Y4" s="71"/>
      <c r="AA4" s="72" t="s">
        <v>79</v>
      </c>
      <c r="AC4" s="4"/>
      <c r="AE4" s="5"/>
      <c r="AF4" s="5"/>
      <c r="CO4" s="12"/>
      <c r="CP4" s="12"/>
      <c r="CQ4" s="23"/>
      <c r="CR4" s="12"/>
    </row>
    <row r="5" spans="2:96" s="2" customFormat="1" ht="14.45" customHeight="1" x14ac:dyDescent="0.25">
      <c r="B5" s="24">
        <v>1</v>
      </c>
      <c r="C5" s="25" t="s">
        <v>60</v>
      </c>
      <c r="D5" s="26">
        <f t="shared" ref="D5:D36" si="0">E5</f>
        <v>45463.833333333336</v>
      </c>
      <c r="E5" s="27">
        <f>Calculator!BX7</f>
        <v>45463.833333333336</v>
      </c>
      <c r="F5" s="28" t="str">
        <f>INDEX(Translation,MATCH(Setup!B8,TransRef,0),MATCH(Setup!$C$5,LanguageRef,0))</f>
        <v>Argentina</v>
      </c>
      <c r="G5" s="28"/>
      <c r="H5" s="115"/>
      <c r="I5" s="116"/>
      <c r="J5" s="28"/>
      <c r="K5" s="29" t="str">
        <f>INDEX(Translation,MATCH(Setup!B11,TransRef,0),MATCH(Setup!$C$5,LanguageRef,0))</f>
        <v>Canada</v>
      </c>
      <c r="L5" s="29"/>
      <c r="M5" s="29"/>
      <c r="N5" s="177" t="s">
        <v>453</v>
      </c>
      <c r="O5" s="7"/>
      <c r="P5" s="75">
        <v>1</v>
      </c>
      <c r="Q5" s="76" t="str">
        <f>INDEX(Calculator!$U$4:$U$7,MATCH(1,Calculator!$BK$4:$BK$7,0),0)</f>
        <v>Argentina</v>
      </c>
      <c r="R5" s="75">
        <f>VLOOKUP($Q5,Calculator!$C$4:$K$35,2,FALSE)</f>
        <v>0</v>
      </c>
      <c r="S5" s="75">
        <f>VLOOKUP($Q5,Calculator!$C$4:$K$35,3,FALSE)</f>
        <v>0</v>
      </c>
      <c r="T5" s="75">
        <f>VLOOKUP($Q5,Calculator!$C$4:$K$35,4,FALSE)</f>
        <v>0</v>
      </c>
      <c r="U5" s="75">
        <f>VLOOKUP($Q5,Calculator!$C$4:$K$35,5,FALSE)</f>
        <v>0</v>
      </c>
      <c r="V5" s="75" t="str">
        <f>VLOOKUP($Q5,Calculator!$C$4:$K$35,6,FALSE)&amp;" - "&amp;VLOOKUP($Q5,Calculator!$C$4:$K$35,7,FALSE)</f>
        <v>0 - 0</v>
      </c>
      <c r="W5" s="75">
        <f>VLOOKUP($Q5,Calculator!$C$4:$K$35,9,FALSE)</f>
        <v>0</v>
      </c>
      <c r="X5" s="8"/>
      <c r="Y5" s="71"/>
      <c r="AA5" s="11" t="s">
        <v>411</v>
      </c>
      <c r="AF5" s="5"/>
      <c r="CO5" s="12"/>
      <c r="CP5" s="12"/>
      <c r="CQ5" s="23"/>
      <c r="CR5" s="12"/>
    </row>
    <row r="6" spans="2:96" s="2" customFormat="1" ht="14.45" customHeight="1" x14ac:dyDescent="0.25">
      <c r="B6" s="24">
        <v>2</v>
      </c>
      <c r="C6" s="30" t="s">
        <v>60</v>
      </c>
      <c r="D6" s="31">
        <f t="shared" si="0"/>
        <v>45464.833333333336</v>
      </c>
      <c r="E6" s="32">
        <f>Calculator!BX8</f>
        <v>45464.833333333336</v>
      </c>
      <c r="F6" s="33" t="str">
        <f>INDEX(Translation,MATCH(Setup!B9,TransRef,0),MATCH(Setup!$C$5,LanguageRef,0))</f>
        <v>Peru</v>
      </c>
      <c r="G6" s="33"/>
      <c r="H6" s="115"/>
      <c r="I6" s="116"/>
      <c r="J6" s="33"/>
      <c r="K6" s="34" t="str">
        <f>INDEX(Translation,MATCH(Setup!B10,TransRef,0),MATCH(Setup!$C$5,LanguageRef,0))</f>
        <v>Chile</v>
      </c>
      <c r="L6" s="34"/>
      <c r="M6" s="34"/>
      <c r="N6" s="178" t="s">
        <v>454</v>
      </c>
      <c r="O6" s="7"/>
      <c r="P6" s="75">
        <v>2</v>
      </c>
      <c r="Q6" s="76" t="str">
        <f>INDEX(Calculator!$U$4:$U$7,MATCH(2,Calculator!$BK$4:$BK$7,0),0)</f>
        <v>Peru</v>
      </c>
      <c r="R6" s="75">
        <f>VLOOKUP($Q6,Calculator!$C$4:$K$35,2,FALSE)</f>
        <v>0</v>
      </c>
      <c r="S6" s="75">
        <f>VLOOKUP($Q6,Calculator!$C$4:$K$35,3,FALSE)</f>
        <v>0</v>
      </c>
      <c r="T6" s="75">
        <f>VLOOKUP($Q6,Calculator!$C$4:$K$35,4,FALSE)</f>
        <v>0</v>
      </c>
      <c r="U6" s="75">
        <f>VLOOKUP($Q6,Calculator!$C$4:$K$35,5,FALSE)</f>
        <v>0</v>
      </c>
      <c r="V6" s="75" t="str">
        <f>VLOOKUP($Q6,Calculator!$C$4:$K$35,6,FALSE)&amp;" - "&amp;VLOOKUP($Q6,Calculator!$C$4:$K$35,7,FALSE)</f>
        <v>0 - 0</v>
      </c>
      <c r="W6" s="75">
        <f>VLOOKUP($Q6,Calculator!$C$4:$K$35,9,FALSE)</f>
        <v>0</v>
      </c>
      <c r="X6" s="8"/>
      <c r="Y6" s="71"/>
      <c r="AA6" s="73" t="s">
        <v>412</v>
      </c>
      <c r="AE6" s="187" t="s">
        <v>473</v>
      </c>
      <c r="AF6" s="5"/>
      <c r="CO6" s="12"/>
      <c r="CP6" s="12"/>
      <c r="CQ6" s="23"/>
      <c r="CR6" s="12"/>
    </row>
    <row r="7" spans="2:96" s="2" customFormat="1" ht="14.45" customHeight="1" x14ac:dyDescent="0.25">
      <c r="B7" s="24">
        <v>3</v>
      </c>
      <c r="C7" s="13" t="s">
        <v>61</v>
      </c>
      <c r="D7" s="35">
        <f t="shared" si="0"/>
        <v>45465.75</v>
      </c>
      <c r="E7" s="36">
        <f>Calculator!BX9</f>
        <v>45465.75</v>
      </c>
      <c r="F7" s="37" t="str">
        <f>INDEX(Translation,MATCH(Setup!B13,TransRef,0),MATCH(Setup!$C$5,LanguageRef,0))</f>
        <v>Ecuador</v>
      </c>
      <c r="G7" s="37"/>
      <c r="H7" s="115"/>
      <c r="I7" s="116"/>
      <c r="J7" s="37"/>
      <c r="K7" s="2" t="str">
        <f>INDEX(Translation,MATCH(Setup!B14,TransRef,0),MATCH(Setup!$C$5,LanguageRef,0))</f>
        <v>Venezuela</v>
      </c>
      <c r="N7" s="179" t="s">
        <v>455</v>
      </c>
      <c r="O7" s="7"/>
      <c r="P7" s="38">
        <v>3</v>
      </c>
      <c r="Q7" s="39" t="str">
        <f>INDEX(Calculator!$U$4:$U$7,MATCH(3,Calculator!$BK$4:$BK$7,0),0)</f>
        <v>Chile</v>
      </c>
      <c r="R7" s="38">
        <f>VLOOKUP($Q7,Calculator!$C$4:$K$35,2,FALSE)</f>
        <v>0</v>
      </c>
      <c r="S7" s="38">
        <f>VLOOKUP($Q7,Calculator!$C$4:$K$35,3,FALSE)</f>
        <v>0</v>
      </c>
      <c r="T7" s="38">
        <f>VLOOKUP($Q7,Calculator!$C$4:$K$35,4,FALSE)</f>
        <v>0</v>
      </c>
      <c r="U7" s="38">
        <f>VLOOKUP($Q7,Calculator!$C$4:$K$35,5,FALSE)</f>
        <v>0</v>
      </c>
      <c r="V7" s="38" t="str">
        <f>VLOOKUP($Q7,Calculator!$C$4:$K$35,6,FALSE)&amp;" - "&amp;VLOOKUP($Q7,Calculator!$C$4:$K$35,7,FALSE)</f>
        <v>0 - 0</v>
      </c>
      <c r="W7" s="38">
        <f>VLOOKUP($Q7,Calculator!$C$4:$K$35,9,FALSE)</f>
        <v>0</v>
      </c>
      <c r="X7" s="8"/>
      <c r="Y7" s="71"/>
      <c r="AA7" s="11" t="s">
        <v>413</v>
      </c>
      <c r="CO7" s="12"/>
      <c r="CP7" s="12"/>
      <c r="CQ7" s="23"/>
      <c r="CR7" s="12"/>
    </row>
    <row r="8" spans="2:96" s="2" customFormat="1" ht="14.45" customHeight="1" x14ac:dyDescent="0.25">
      <c r="B8" s="24">
        <v>4</v>
      </c>
      <c r="C8" s="30" t="s">
        <v>61</v>
      </c>
      <c r="D8" s="31">
        <f t="shared" si="0"/>
        <v>45465.791666666664</v>
      </c>
      <c r="E8" s="32">
        <f>Calculator!BX10</f>
        <v>45465.791666666664</v>
      </c>
      <c r="F8" s="33" t="str">
        <f>INDEX(Translation,MATCH(Setup!B12,TransRef,0),MATCH(Setup!$C$5,LanguageRef,0))</f>
        <v>Mexico</v>
      </c>
      <c r="G8" s="33"/>
      <c r="H8" s="115"/>
      <c r="I8" s="116"/>
      <c r="J8" s="33"/>
      <c r="K8" s="34" t="str">
        <f>INDEX(Translation,MATCH(Setup!B15,TransRef,0),MATCH(Setup!$C$5,LanguageRef,0))</f>
        <v>Jamaica</v>
      </c>
      <c r="L8" s="34"/>
      <c r="M8" s="34"/>
      <c r="N8" s="178" t="s">
        <v>456</v>
      </c>
      <c r="O8" s="7"/>
      <c r="P8" s="38">
        <v>4</v>
      </c>
      <c r="Q8" s="39" t="str">
        <f>INDEX(Calculator!$U$4:$U$7,MATCH(4,Calculator!$BK$4:$BK$7,0),0)</f>
        <v>Canada</v>
      </c>
      <c r="R8" s="38">
        <f>VLOOKUP($Q8,Calculator!$C$4:$K$35,2,FALSE)</f>
        <v>0</v>
      </c>
      <c r="S8" s="38">
        <f>VLOOKUP($Q8,Calculator!$C$4:$K$35,3,FALSE)</f>
        <v>0</v>
      </c>
      <c r="T8" s="38">
        <f>VLOOKUP($Q8,Calculator!$C$4:$K$35,4,FALSE)</f>
        <v>0</v>
      </c>
      <c r="U8" s="38">
        <f>VLOOKUP($Q8,Calculator!$C$4:$K$35,5,FALSE)</f>
        <v>0</v>
      </c>
      <c r="V8" s="38" t="str">
        <f>VLOOKUP($Q8,Calculator!$C$4:$K$35,6,FALSE)&amp;" - "&amp;VLOOKUP($Q8,Calculator!$C$4:$K$35,7,FALSE)</f>
        <v>0 - 0</v>
      </c>
      <c r="W8" s="38">
        <f>VLOOKUP($Q8,Calculator!$C$4:$K$35,9,FALSE)</f>
        <v>0</v>
      </c>
      <c r="X8" s="8"/>
      <c r="Y8" s="71"/>
      <c r="AA8" s="13" t="s">
        <v>80</v>
      </c>
      <c r="AB8" s="2" t="s">
        <v>357</v>
      </c>
      <c r="AC8" s="4"/>
      <c r="AE8" s="5"/>
      <c r="AF8" s="5"/>
      <c r="CO8" s="12"/>
      <c r="CP8" s="12"/>
      <c r="CQ8" s="23"/>
      <c r="CR8" s="12"/>
    </row>
    <row r="9" spans="2:96" s="2" customFormat="1" ht="14.45" customHeight="1" x14ac:dyDescent="0.25">
      <c r="B9" s="24">
        <v>5</v>
      </c>
      <c r="C9" s="13" t="s">
        <v>62</v>
      </c>
      <c r="D9" s="35">
        <f t="shared" si="0"/>
        <v>45466.75</v>
      </c>
      <c r="E9" s="36">
        <f>Calculator!BX11</f>
        <v>45466.75</v>
      </c>
      <c r="F9" s="37" t="str">
        <f>INDEX(Translation,MATCH(Setup!B16,TransRef,0),MATCH(Setup!$C$5,LanguageRef,0))</f>
        <v>United States</v>
      </c>
      <c r="G9" s="37"/>
      <c r="H9" s="115"/>
      <c r="I9" s="116"/>
      <c r="J9" s="37"/>
      <c r="K9" s="2" t="str">
        <f>INDEX(Translation,MATCH(Setup!B19,TransRef,0),MATCH(Setup!$C$5,LanguageRef,0))</f>
        <v>Bolivia</v>
      </c>
      <c r="N9" s="179" t="s">
        <v>454</v>
      </c>
      <c r="O9" s="7"/>
      <c r="P9" s="20"/>
      <c r="Q9" s="40"/>
      <c r="R9" s="7"/>
      <c r="S9" s="7"/>
      <c r="T9" s="7"/>
      <c r="U9" s="7"/>
      <c r="V9" s="7"/>
      <c r="W9" s="7"/>
      <c r="X9" s="8"/>
      <c r="Y9" s="71"/>
      <c r="AA9" s="13" t="s">
        <v>80</v>
      </c>
      <c r="AB9" s="2" t="s">
        <v>358</v>
      </c>
      <c r="AC9" s="4"/>
      <c r="AE9" s="5"/>
      <c r="AF9" s="5"/>
      <c r="CO9" s="12"/>
      <c r="CP9" s="12"/>
      <c r="CQ9" s="23"/>
      <c r="CR9" s="12"/>
    </row>
    <row r="10" spans="2:96" s="2" customFormat="1" ht="14.45" customHeight="1" x14ac:dyDescent="0.25">
      <c r="B10" s="24">
        <v>6</v>
      </c>
      <c r="C10" s="30" t="s">
        <v>62</v>
      </c>
      <c r="D10" s="31">
        <f t="shared" si="0"/>
        <v>45466.791666666664</v>
      </c>
      <c r="E10" s="32">
        <f>Calculator!BX12</f>
        <v>45466.791666666664</v>
      </c>
      <c r="F10" s="33" t="str">
        <f>INDEX(Translation,MATCH(Setup!B17,TransRef,0),MATCH(Setup!$C$5,LanguageRef,0))</f>
        <v>Uruguay</v>
      </c>
      <c r="G10" s="33"/>
      <c r="H10" s="115"/>
      <c r="I10" s="116"/>
      <c r="J10" s="33"/>
      <c r="K10" s="34" t="str">
        <f>INDEX(Translation,MATCH(Setup!B18,TransRef,0),MATCH(Setup!$C$5,LanguageRef,0))</f>
        <v>Panama</v>
      </c>
      <c r="L10" s="34"/>
      <c r="M10" s="34"/>
      <c r="N10" s="178" t="s">
        <v>457</v>
      </c>
      <c r="O10" s="7"/>
      <c r="P10" s="224" t="str">
        <f>INDEX(Translation,MATCH("Group B",TransRef,0),MATCH(Setup!$C$5,LanguageRef,0))</f>
        <v>Group B</v>
      </c>
      <c r="Q10" s="224"/>
      <c r="R10" s="147" t="s">
        <v>54</v>
      </c>
      <c r="S10" s="147" t="s">
        <v>55</v>
      </c>
      <c r="T10" s="147" t="s">
        <v>56</v>
      </c>
      <c r="U10" s="147" t="s">
        <v>57</v>
      </c>
      <c r="V10" s="147" t="s">
        <v>58</v>
      </c>
      <c r="W10" s="147" t="s">
        <v>59</v>
      </c>
      <c r="X10" s="8"/>
      <c r="Y10" s="71"/>
      <c r="AA10" s="13" t="s">
        <v>80</v>
      </c>
      <c r="AB10" s="2" t="s">
        <v>359</v>
      </c>
      <c r="AC10" s="4"/>
      <c r="AE10" s="5"/>
      <c r="AF10" s="5"/>
      <c r="CO10" s="12"/>
      <c r="CP10" s="12"/>
      <c r="CQ10" s="23"/>
      <c r="CR10" s="12"/>
    </row>
    <row r="11" spans="2:96" s="2" customFormat="1" ht="14.45" customHeight="1" x14ac:dyDescent="0.25">
      <c r="B11" s="24">
        <v>7</v>
      </c>
      <c r="C11" s="13" t="s">
        <v>56</v>
      </c>
      <c r="D11" s="35">
        <f t="shared" si="0"/>
        <v>45467.75</v>
      </c>
      <c r="E11" s="36">
        <f>Calculator!BX13</f>
        <v>45467.75</v>
      </c>
      <c r="F11" s="37" t="str">
        <f>INDEX(Translation,MATCH(Setup!B21,TransRef,0),MATCH(Setup!$C$5,LanguageRef,0))</f>
        <v>Colombia</v>
      </c>
      <c r="G11" s="37"/>
      <c r="H11" s="115"/>
      <c r="I11" s="116"/>
      <c r="J11" s="37"/>
      <c r="K11" s="2" t="str">
        <f>INDEX(Translation,MATCH(Setup!B22,TransRef,0),MATCH(Setup!$C$5,LanguageRef,0))</f>
        <v>Paraguay</v>
      </c>
      <c r="N11" s="179" t="s">
        <v>456</v>
      </c>
      <c r="O11" s="7"/>
      <c r="P11" s="77">
        <v>1</v>
      </c>
      <c r="Q11" s="78" t="str">
        <f>INDEX(Calculator!$U$8:$U$11,MATCH(1,Calculator!$BK$8:$BK$11,0),0)</f>
        <v>Mexico</v>
      </c>
      <c r="R11" s="77">
        <f>VLOOKUP($Q11,Calculator!$C$4:$K$35,2,FALSE)</f>
        <v>0</v>
      </c>
      <c r="S11" s="77">
        <f>VLOOKUP($Q11,Calculator!$C$4:$K$35,3,FALSE)</f>
        <v>0</v>
      </c>
      <c r="T11" s="77">
        <f>VLOOKUP($Q11,Calculator!$C$4:$K$35,4,FALSE)</f>
        <v>0</v>
      </c>
      <c r="U11" s="77">
        <f>VLOOKUP($Q11,Calculator!$C$4:$K$35,5,FALSE)</f>
        <v>0</v>
      </c>
      <c r="V11" s="77" t="str">
        <f>VLOOKUP($Q11,Calculator!$C$4:$K$35,6,FALSE)&amp;" - "&amp;VLOOKUP($Q11,Calculator!$C$4:$K$35,7,FALSE)</f>
        <v>0 - 0</v>
      </c>
      <c r="W11" s="77">
        <f>VLOOKUP($Q11,Calculator!$C$4:$K$35,9,FALSE)</f>
        <v>0</v>
      </c>
      <c r="X11" s="8"/>
      <c r="Y11" s="71"/>
      <c r="AA11" s="13" t="s">
        <v>80</v>
      </c>
      <c r="AB11" s="2" t="s">
        <v>81</v>
      </c>
      <c r="AC11" s="4"/>
      <c r="AE11" s="5"/>
      <c r="AF11" s="56"/>
      <c r="CO11" s="12"/>
      <c r="CP11" s="12"/>
      <c r="CQ11" s="23"/>
      <c r="CR11" s="12"/>
    </row>
    <row r="12" spans="2:96" s="2" customFormat="1" ht="14.45" customHeight="1" x14ac:dyDescent="0.25">
      <c r="B12" s="24">
        <v>8</v>
      </c>
      <c r="C12" s="30" t="s">
        <v>56</v>
      </c>
      <c r="D12" s="31">
        <f t="shared" si="0"/>
        <v>45467.791666666664</v>
      </c>
      <c r="E12" s="32">
        <f>Calculator!BX14</f>
        <v>45467.791666666664</v>
      </c>
      <c r="F12" s="33" t="str">
        <f>INDEX(Translation,MATCH(Setup!B20,TransRef,0),MATCH(Setup!$C$5,LanguageRef,0))</f>
        <v>Brazil</v>
      </c>
      <c r="G12" s="33"/>
      <c r="H12" s="115"/>
      <c r="I12" s="116"/>
      <c r="J12" s="33"/>
      <c r="K12" s="34" t="str">
        <f>INDEX(Translation,MATCH(Setup!B23,TransRef,0),MATCH(Setup!$C$5,LanguageRef,0))</f>
        <v>Costa Rica</v>
      </c>
      <c r="L12" s="34"/>
      <c r="M12" s="34"/>
      <c r="N12" s="178" t="s">
        <v>458</v>
      </c>
      <c r="O12" s="7"/>
      <c r="P12" s="77">
        <v>2</v>
      </c>
      <c r="Q12" s="78" t="str">
        <f>INDEX(Calculator!$U$8:$U$11,MATCH(2,Calculator!$BK$8:$BK$11,0),0)</f>
        <v>Ecuador</v>
      </c>
      <c r="R12" s="77">
        <f>VLOOKUP($Q12,Calculator!$C$4:$K$35,2,FALSE)</f>
        <v>0</v>
      </c>
      <c r="S12" s="77">
        <f>VLOOKUP($Q12,Calculator!$C$4:$K$35,3,FALSE)</f>
        <v>0</v>
      </c>
      <c r="T12" s="77">
        <f>VLOOKUP($Q12,Calculator!$C$4:$K$35,4,FALSE)</f>
        <v>0</v>
      </c>
      <c r="U12" s="77">
        <f>VLOOKUP($Q12,Calculator!$C$4:$K$35,5,FALSE)</f>
        <v>0</v>
      </c>
      <c r="V12" s="77" t="str">
        <f>VLOOKUP($Q12,Calculator!$C$4:$K$35,6,FALSE)&amp;" - "&amp;VLOOKUP($Q12,Calculator!$C$4:$K$35,7,FALSE)</f>
        <v>0 - 0</v>
      </c>
      <c r="W12" s="77">
        <f>VLOOKUP($Q12,Calculator!$C$4:$K$35,9,FALSE)</f>
        <v>0</v>
      </c>
      <c r="X12" s="8"/>
      <c r="Y12" s="71"/>
      <c r="AA12" s="2" t="s">
        <v>82</v>
      </c>
      <c r="AC12" s="4"/>
      <c r="AE12" s="56"/>
      <c r="AF12" s="56"/>
      <c r="CO12" s="12"/>
      <c r="CP12" s="12"/>
      <c r="CQ12" s="23"/>
      <c r="CR12" s="12"/>
    </row>
    <row r="13" spans="2:96" s="2" customFormat="1" ht="14.45" customHeight="1" x14ac:dyDescent="0.25">
      <c r="B13" s="24">
        <v>9</v>
      </c>
      <c r="C13" s="13" t="s">
        <v>60</v>
      </c>
      <c r="D13" s="35">
        <f t="shared" si="0"/>
        <v>45468.75</v>
      </c>
      <c r="E13" s="36">
        <f>Calculator!BX15</f>
        <v>45468.75</v>
      </c>
      <c r="F13" s="37" t="str">
        <f>F6</f>
        <v>Peru</v>
      </c>
      <c r="G13" s="37"/>
      <c r="H13" s="115"/>
      <c r="I13" s="116"/>
      <c r="J13" s="37"/>
      <c r="K13" s="2" t="str">
        <f>K5</f>
        <v>Canada</v>
      </c>
      <c r="N13" s="179" t="s">
        <v>459</v>
      </c>
      <c r="O13" s="7"/>
      <c r="P13" s="38">
        <v>3</v>
      </c>
      <c r="Q13" s="39" t="str">
        <f>INDEX(Calculator!$U$8:$U$11,MATCH(3,Calculator!$BK$8:$BK$11,0),0)</f>
        <v>Venezuela</v>
      </c>
      <c r="R13" s="38">
        <f>VLOOKUP($Q13,Calculator!$C$4:$K$35,2,FALSE)</f>
        <v>0</v>
      </c>
      <c r="S13" s="38">
        <f>VLOOKUP($Q13,Calculator!$C$4:$K$35,3,FALSE)</f>
        <v>0</v>
      </c>
      <c r="T13" s="38">
        <f>VLOOKUP($Q13,Calculator!$C$4:$K$35,4,FALSE)</f>
        <v>0</v>
      </c>
      <c r="U13" s="38">
        <f>VLOOKUP($Q13,Calculator!$C$4:$K$35,5,FALSE)</f>
        <v>0</v>
      </c>
      <c r="V13" s="38" t="str">
        <f>VLOOKUP($Q13,Calculator!$C$4:$K$35,6,FALSE)&amp;" - "&amp;VLOOKUP($Q13,Calculator!$C$4:$K$35,7,FALSE)</f>
        <v>0 - 0</v>
      </c>
      <c r="W13" s="38">
        <f>VLOOKUP($Q13,Calculator!$C$4:$K$35,9,FALSE)</f>
        <v>0</v>
      </c>
      <c r="X13" s="8"/>
      <c r="Y13" s="71"/>
      <c r="AB13" s="54" t="s">
        <v>83</v>
      </c>
      <c r="AC13" s="55"/>
      <c r="AD13" s="46" t="s">
        <v>355</v>
      </c>
      <c r="AE13" s="56"/>
      <c r="AF13" s="56"/>
      <c r="CO13" s="12"/>
      <c r="CP13" s="12"/>
      <c r="CQ13" s="23"/>
      <c r="CR13" s="12"/>
    </row>
    <row r="14" spans="2:96" s="2" customFormat="1" ht="14.45" customHeight="1" x14ac:dyDescent="0.25">
      <c r="B14" s="24">
        <v>10</v>
      </c>
      <c r="C14" s="30" t="s">
        <v>60</v>
      </c>
      <c r="D14" s="31">
        <f t="shared" si="0"/>
        <v>45468.875</v>
      </c>
      <c r="E14" s="32">
        <f>Calculator!BX16</f>
        <v>45468.875</v>
      </c>
      <c r="F14" s="33" t="str">
        <f>K6</f>
        <v>Chile</v>
      </c>
      <c r="G14" s="33"/>
      <c r="H14" s="115"/>
      <c r="I14" s="116"/>
      <c r="J14" s="33"/>
      <c r="K14" s="34" t="str">
        <f>F5</f>
        <v>Argentina</v>
      </c>
      <c r="L14" s="34"/>
      <c r="M14" s="34"/>
      <c r="N14" s="178" t="s">
        <v>460</v>
      </c>
      <c r="O14" s="7"/>
      <c r="P14" s="38">
        <v>4</v>
      </c>
      <c r="Q14" s="39" t="str">
        <f>INDEX(Calculator!$U$8:$U$11,MATCH(4,Calculator!$BK$8:$BK$11,0),0)</f>
        <v>Jamaica</v>
      </c>
      <c r="R14" s="38">
        <f>VLOOKUP($Q14,Calculator!$C$4:$K$35,2,FALSE)</f>
        <v>0</v>
      </c>
      <c r="S14" s="38">
        <f>VLOOKUP($Q14,Calculator!$C$4:$K$35,3,FALSE)</f>
        <v>0</v>
      </c>
      <c r="T14" s="38">
        <f>VLOOKUP($Q14,Calculator!$C$4:$K$35,4,FALSE)</f>
        <v>0</v>
      </c>
      <c r="U14" s="38">
        <f>VLOOKUP($Q14,Calculator!$C$4:$K$35,5,FALSE)</f>
        <v>0</v>
      </c>
      <c r="V14" s="38" t="str">
        <f>VLOOKUP($Q14,Calculator!$C$4:$K$35,6,FALSE)&amp;" - "&amp;VLOOKUP($Q14,Calculator!$C$4:$K$35,7,FALSE)</f>
        <v>0 - 0</v>
      </c>
      <c r="W14" s="38">
        <f>VLOOKUP($Q14,Calculator!$C$4:$K$35,9,FALSE)</f>
        <v>0</v>
      </c>
      <c r="X14" s="8"/>
      <c r="Y14" s="71"/>
      <c r="AB14" s="60" t="s">
        <v>83</v>
      </c>
      <c r="AC14" s="55"/>
      <c r="AD14" s="46" t="s">
        <v>360</v>
      </c>
      <c r="AE14" s="56"/>
      <c r="CO14" s="12"/>
      <c r="CP14" s="12"/>
      <c r="CQ14" s="23"/>
      <c r="CR14" s="12"/>
    </row>
    <row r="15" spans="2:96" s="2" customFormat="1" ht="14.45" customHeight="1" x14ac:dyDescent="0.25">
      <c r="B15" s="24">
        <v>11</v>
      </c>
      <c r="C15" s="13" t="s">
        <v>61</v>
      </c>
      <c r="D15" s="35">
        <f t="shared" si="0"/>
        <v>45469.75</v>
      </c>
      <c r="E15" s="36">
        <f>Calculator!BX17</f>
        <v>45469.75</v>
      </c>
      <c r="F15" s="37" t="str">
        <f>F7</f>
        <v>Ecuador</v>
      </c>
      <c r="G15" s="37"/>
      <c r="H15" s="115"/>
      <c r="I15" s="116"/>
      <c r="J15" s="37"/>
      <c r="K15" s="2" t="str">
        <f>K8</f>
        <v>Jamaica</v>
      </c>
      <c r="N15" s="179" t="s">
        <v>461</v>
      </c>
      <c r="O15" s="7"/>
      <c r="P15" s="20"/>
      <c r="Q15" s="40"/>
      <c r="R15" s="7"/>
      <c r="S15" s="7"/>
      <c r="T15" s="7"/>
      <c r="U15" s="7"/>
      <c r="V15" s="7"/>
      <c r="W15" s="7"/>
      <c r="X15" s="8"/>
      <c r="Y15" s="71"/>
      <c r="AB15" s="59" t="s">
        <v>83</v>
      </c>
      <c r="AC15" s="55"/>
      <c r="AD15" s="46" t="s">
        <v>356</v>
      </c>
      <c r="CO15" s="12"/>
      <c r="CP15" s="12"/>
      <c r="CQ15" s="23"/>
      <c r="CR15" s="12"/>
    </row>
    <row r="16" spans="2:96" s="2" customFormat="1" ht="14.45" customHeight="1" x14ac:dyDescent="0.25">
      <c r="B16" s="24">
        <v>12</v>
      </c>
      <c r="C16" s="30" t="s">
        <v>61</v>
      </c>
      <c r="D16" s="31">
        <f t="shared" si="0"/>
        <v>45469.791666666664</v>
      </c>
      <c r="E16" s="32">
        <f>Calculator!BX18</f>
        <v>45469.791666666664</v>
      </c>
      <c r="F16" s="33" t="str">
        <f>K7</f>
        <v>Venezuela</v>
      </c>
      <c r="G16" s="33"/>
      <c r="H16" s="115"/>
      <c r="I16" s="116"/>
      <c r="J16" s="33"/>
      <c r="K16" s="34" t="str">
        <f>F8</f>
        <v>Mexico</v>
      </c>
      <c r="L16" s="34"/>
      <c r="M16" s="34"/>
      <c r="N16" s="178" t="s">
        <v>458</v>
      </c>
      <c r="O16" s="7"/>
      <c r="P16" s="224" t="str">
        <f>INDEX(Translation,MATCH("Group C",TransRef,0),MATCH(Setup!$C$5,LanguageRef,0))</f>
        <v>Group C</v>
      </c>
      <c r="Q16" s="224"/>
      <c r="R16" s="147" t="s">
        <v>54</v>
      </c>
      <c r="S16" s="147" t="s">
        <v>55</v>
      </c>
      <c r="T16" s="147" t="s">
        <v>56</v>
      </c>
      <c r="U16" s="147" t="s">
        <v>57</v>
      </c>
      <c r="V16" s="147" t="s">
        <v>58</v>
      </c>
      <c r="W16" s="147" t="s">
        <v>59</v>
      </c>
      <c r="X16" s="8"/>
      <c r="Y16" s="71"/>
      <c r="CO16" s="12"/>
      <c r="CP16" s="12"/>
      <c r="CQ16" s="23"/>
      <c r="CR16" s="12"/>
    </row>
    <row r="17" spans="1:96" s="2" customFormat="1" ht="14.45" customHeight="1" x14ac:dyDescent="0.25">
      <c r="B17" s="24">
        <v>13</v>
      </c>
      <c r="C17" s="13" t="s">
        <v>62</v>
      </c>
      <c r="D17" s="35">
        <f t="shared" si="0"/>
        <v>45470.75</v>
      </c>
      <c r="E17" s="36">
        <f>Calculator!BX19</f>
        <v>45470.75</v>
      </c>
      <c r="F17" s="37" t="str">
        <f>K10</f>
        <v>Panama</v>
      </c>
      <c r="G17" s="37"/>
      <c r="H17" s="115"/>
      <c r="I17" s="116"/>
      <c r="J17" s="37"/>
      <c r="K17" s="2" t="str">
        <f>F9</f>
        <v>United States</v>
      </c>
      <c r="N17" s="179" t="s">
        <v>453</v>
      </c>
      <c r="O17" s="7"/>
      <c r="P17" s="79">
        <v>1</v>
      </c>
      <c r="Q17" s="80" t="str">
        <f>INDEX(Calculator!$U$12:$U$15,MATCH(1,Calculator!$BK$12:$BK$15,0),0)</f>
        <v>United States</v>
      </c>
      <c r="R17" s="79">
        <f>VLOOKUP($Q17,Calculator!$C$4:$K$35,2,FALSE)</f>
        <v>0</v>
      </c>
      <c r="S17" s="79">
        <f>VLOOKUP($Q17,Calculator!$C$4:$K$35,3,FALSE)</f>
        <v>0</v>
      </c>
      <c r="T17" s="79">
        <f>VLOOKUP($Q17,Calculator!$C$4:$K$35,4,FALSE)</f>
        <v>0</v>
      </c>
      <c r="U17" s="79">
        <f>VLOOKUP($Q17,Calculator!$C$4:$K$35,5,FALSE)</f>
        <v>0</v>
      </c>
      <c r="V17" s="79" t="str">
        <f>VLOOKUP($Q17,Calculator!$C$4:$K$35,6,FALSE)&amp;" - "&amp;VLOOKUP($Q17,Calculator!$C$4:$K$35,7,FALSE)</f>
        <v>0 - 0</v>
      </c>
      <c r="W17" s="79">
        <f>VLOOKUP($Q17,Calculator!$C$4:$K$35,9,FALSE)</f>
        <v>0</v>
      </c>
      <c r="X17" s="8"/>
      <c r="Y17" s="71"/>
      <c r="CO17" s="12"/>
      <c r="CP17" s="12"/>
      <c r="CQ17" s="23"/>
      <c r="CR17" s="12"/>
    </row>
    <row r="18" spans="1:96" s="2" customFormat="1" ht="14.45" customHeight="1" x14ac:dyDescent="0.25">
      <c r="B18" s="24">
        <v>14</v>
      </c>
      <c r="C18" s="30" t="s">
        <v>62</v>
      </c>
      <c r="D18" s="31">
        <f t="shared" si="0"/>
        <v>45470.791666666664</v>
      </c>
      <c r="E18" s="32">
        <f>Calculator!BX20</f>
        <v>45470.791666666664</v>
      </c>
      <c r="F18" s="33" t="str">
        <f>F10</f>
        <v>Uruguay</v>
      </c>
      <c r="G18" s="33"/>
      <c r="H18" s="115"/>
      <c r="I18" s="116"/>
      <c r="J18" s="33"/>
      <c r="K18" s="34" t="str">
        <f>K9</f>
        <v>Bolivia</v>
      </c>
      <c r="L18" s="34"/>
      <c r="M18" s="34"/>
      <c r="N18" s="178" t="s">
        <v>460</v>
      </c>
      <c r="O18" s="7"/>
      <c r="P18" s="79">
        <v>2</v>
      </c>
      <c r="Q18" s="80" t="str">
        <f>INDEX(Calculator!$U$12:$U$15,MATCH(2,Calculator!$BK$12:$BK$15,0),0)</f>
        <v>Uruguay</v>
      </c>
      <c r="R18" s="79">
        <f>VLOOKUP($Q18,Calculator!$C$4:$K$35,2,FALSE)</f>
        <v>0</v>
      </c>
      <c r="S18" s="79">
        <f>VLOOKUP($Q18,Calculator!$C$4:$K$35,3,FALSE)</f>
        <v>0</v>
      </c>
      <c r="T18" s="79">
        <f>VLOOKUP($Q18,Calculator!$C$4:$K$35,4,FALSE)</f>
        <v>0</v>
      </c>
      <c r="U18" s="79">
        <f>VLOOKUP($Q18,Calculator!$C$4:$K$35,5,FALSE)</f>
        <v>0</v>
      </c>
      <c r="V18" s="79" t="str">
        <f>VLOOKUP($Q18,Calculator!$C$4:$K$35,6,FALSE)&amp;" - "&amp;VLOOKUP($Q18,Calculator!$C$4:$K$35,7,FALSE)</f>
        <v>0 - 0</v>
      </c>
      <c r="W18" s="79">
        <f>VLOOKUP($Q18,Calculator!$C$4:$K$35,9,FALSE)</f>
        <v>0</v>
      </c>
      <c r="X18" s="8"/>
      <c r="Y18" s="71"/>
      <c r="CO18" s="12"/>
      <c r="CP18" s="12"/>
      <c r="CQ18" s="23"/>
      <c r="CR18" s="12"/>
    </row>
    <row r="19" spans="1:96" s="2" customFormat="1" ht="14.45" customHeight="1" x14ac:dyDescent="0.25">
      <c r="B19" s="24">
        <v>15</v>
      </c>
      <c r="C19" s="13" t="s">
        <v>56</v>
      </c>
      <c r="D19" s="35">
        <f t="shared" si="0"/>
        <v>45471.75</v>
      </c>
      <c r="E19" s="36">
        <f>Calculator!BX21</f>
        <v>45471.75</v>
      </c>
      <c r="F19" s="37" t="str">
        <f>F11</f>
        <v>Colombia</v>
      </c>
      <c r="G19" s="37"/>
      <c r="H19" s="115"/>
      <c r="I19" s="116"/>
      <c r="J19" s="37"/>
      <c r="K19" s="2" t="str">
        <f>K12</f>
        <v>Costa Rica</v>
      </c>
      <c r="N19" s="179" t="s">
        <v>462</v>
      </c>
      <c r="O19" s="7"/>
      <c r="P19" s="38">
        <v>3</v>
      </c>
      <c r="Q19" s="39" t="str">
        <f>INDEX(Calculator!$U$12:$U$15,MATCH(3,Calculator!$BK$12:$BK$15,0),0)</f>
        <v>Panama</v>
      </c>
      <c r="R19" s="38">
        <f>VLOOKUP($Q19,Calculator!$C$4:$K$35,2,FALSE)</f>
        <v>0</v>
      </c>
      <c r="S19" s="38">
        <f>VLOOKUP($Q19,Calculator!$C$4:$K$35,3,FALSE)</f>
        <v>0</v>
      </c>
      <c r="T19" s="38">
        <f>VLOOKUP($Q19,Calculator!$C$4:$K$35,4,FALSE)</f>
        <v>0</v>
      </c>
      <c r="U19" s="38">
        <f>VLOOKUP($Q19,Calculator!$C$4:$K$35,5,FALSE)</f>
        <v>0</v>
      </c>
      <c r="V19" s="38" t="str">
        <f>VLOOKUP($Q19,Calculator!$C$4:$K$35,6,FALSE)&amp;" - "&amp;VLOOKUP($Q19,Calculator!$C$4:$K$35,7,FALSE)</f>
        <v>0 - 0</v>
      </c>
      <c r="W19" s="38">
        <f>VLOOKUP($Q19,Calculator!$C$4:$K$35,9,FALSE)</f>
        <v>0</v>
      </c>
      <c r="X19" s="8"/>
      <c r="Y19" s="71"/>
      <c r="CO19" s="12"/>
      <c r="CP19" s="12"/>
      <c r="CQ19" s="23"/>
      <c r="CR19" s="12"/>
    </row>
    <row r="20" spans="1:96" s="2" customFormat="1" ht="14.45" customHeight="1" x14ac:dyDescent="0.25">
      <c r="B20" s="24">
        <v>16</v>
      </c>
      <c r="C20" s="30" t="s">
        <v>56</v>
      </c>
      <c r="D20" s="31">
        <f t="shared" si="0"/>
        <v>45471.791666666664</v>
      </c>
      <c r="E20" s="32">
        <f>Calculator!BX22</f>
        <v>45471.791666666664</v>
      </c>
      <c r="F20" s="33" t="str">
        <f>K11</f>
        <v>Paraguay</v>
      </c>
      <c r="G20" s="33"/>
      <c r="H20" s="115"/>
      <c r="I20" s="116"/>
      <c r="J20" s="33"/>
      <c r="K20" s="34" t="str">
        <f>F12</f>
        <v>Brazil</v>
      </c>
      <c r="L20" s="34"/>
      <c r="M20" s="34"/>
      <c r="N20" s="178" t="s">
        <v>461</v>
      </c>
      <c r="O20" s="7"/>
      <c r="P20" s="38">
        <v>4</v>
      </c>
      <c r="Q20" s="39" t="str">
        <f>INDEX(Calculator!$U$12:$U$15,MATCH(4,Calculator!$BK$12:$BK$15,0),0)</f>
        <v>Bolivia</v>
      </c>
      <c r="R20" s="38">
        <f>VLOOKUP($Q20,Calculator!$C$4:$K$35,2,FALSE)</f>
        <v>0</v>
      </c>
      <c r="S20" s="38">
        <f>VLOOKUP($Q20,Calculator!$C$4:$K$35,3,FALSE)</f>
        <v>0</v>
      </c>
      <c r="T20" s="38">
        <f>VLOOKUP($Q20,Calculator!$C$4:$K$35,4,FALSE)</f>
        <v>0</v>
      </c>
      <c r="U20" s="38">
        <f>VLOOKUP($Q20,Calculator!$C$4:$K$35,5,FALSE)</f>
        <v>0</v>
      </c>
      <c r="V20" s="38" t="str">
        <f>VLOOKUP($Q20,Calculator!$C$4:$K$35,6,FALSE)&amp;" - "&amp;VLOOKUP($Q20,Calculator!$C$4:$K$35,7,FALSE)</f>
        <v>0 - 0</v>
      </c>
      <c r="W20" s="38">
        <f>VLOOKUP($Q20,Calculator!$C$4:$K$35,9,FALSE)</f>
        <v>0</v>
      </c>
      <c r="X20" s="8"/>
      <c r="Y20" s="71"/>
      <c r="CO20" s="12"/>
      <c r="CP20" s="12"/>
      <c r="CQ20" s="23"/>
      <c r="CR20" s="12"/>
    </row>
    <row r="21" spans="1:96" s="2" customFormat="1" ht="14.45" customHeight="1" x14ac:dyDescent="0.25">
      <c r="B21" s="24">
        <v>17</v>
      </c>
      <c r="C21" s="13" t="s">
        <v>60</v>
      </c>
      <c r="D21" s="41">
        <f t="shared" si="0"/>
        <v>45472.833333333336</v>
      </c>
      <c r="E21" s="36">
        <f>Calculator!BX23</f>
        <v>45472.833333333336</v>
      </c>
      <c r="F21" s="37" t="str">
        <f>F5</f>
        <v>Argentina</v>
      </c>
      <c r="G21" s="37"/>
      <c r="H21" s="115"/>
      <c r="I21" s="116"/>
      <c r="J21" s="37"/>
      <c r="K21" s="2" t="str">
        <f>F6</f>
        <v>Peru</v>
      </c>
      <c r="N21" s="179" t="s">
        <v>457</v>
      </c>
      <c r="O21" s="7"/>
      <c r="P21" s="20"/>
      <c r="Q21" s="40"/>
      <c r="R21" s="7"/>
      <c r="S21" s="7"/>
      <c r="T21" s="7"/>
      <c r="U21" s="7"/>
      <c r="V21" s="7"/>
      <c r="W21" s="7"/>
      <c r="X21" s="8"/>
      <c r="Y21" s="71"/>
      <c r="CO21" s="12"/>
      <c r="CP21" s="12"/>
      <c r="CQ21" s="23"/>
      <c r="CR21" s="12"/>
    </row>
    <row r="22" spans="1:96" s="2" customFormat="1" ht="14.45" customHeight="1" x14ac:dyDescent="0.25">
      <c r="B22" s="24">
        <v>18</v>
      </c>
      <c r="C22" s="30" t="s">
        <v>60</v>
      </c>
      <c r="D22" s="31">
        <f t="shared" si="0"/>
        <v>45472.833333333336</v>
      </c>
      <c r="E22" s="32">
        <f>Calculator!BX24</f>
        <v>45472.833333333336</v>
      </c>
      <c r="F22" s="33" t="str">
        <f>K5</f>
        <v>Canada</v>
      </c>
      <c r="G22" s="33"/>
      <c r="H22" s="115"/>
      <c r="I22" s="116"/>
      <c r="J22" s="33"/>
      <c r="K22" s="34" t="str">
        <f>K6</f>
        <v>Chile</v>
      </c>
      <c r="L22" s="34"/>
      <c r="M22" s="34"/>
      <c r="N22" s="178" t="s">
        <v>463</v>
      </c>
      <c r="O22" s="7"/>
      <c r="P22" s="224" t="str">
        <f>INDEX(Translation,MATCH("Group D",TransRef,0),MATCH(Setup!$C$5,LanguageRef,0))</f>
        <v>Group D</v>
      </c>
      <c r="Q22" s="224"/>
      <c r="R22" s="147" t="s">
        <v>54</v>
      </c>
      <c r="S22" s="147" t="s">
        <v>55</v>
      </c>
      <c r="T22" s="147" t="s">
        <v>56</v>
      </c>
      <c r="U22" s="147" t="s">
        <v>57</v>
      </c>
      <c r="V22" s="147" t="s">
        <v>58</v>
      </c>
      <c r="W22" s="147" t="s">
        <v>59</v>
      </c>
      <c r="X22" s="8"/>
      <c r="Y22" s="71"/>
      <c r="CO22" s="12"/>
      <c r="CP22" s="12"/>
      <c r="CQ22" s="23"/>
      <c r="CR22" s="12"/>
    </row>
    <row r="23" spans="1:96" s="2" customFormat="1" ht="14.45" customHeight="1" x14ac:dyDescent="0.25">
      <c r="B23" s="24">
        <v>19</v>
      </c>
      <c r="C23" s="13" t="s">
        <v>61</v>
      </c>
      <c r="D23" s="35">
        <f t="shared" si="0"/>
        <v>45473.833333333336</v>
      </c>
      <c r="E23" s="36">
        <f>Calculator!BX25</f>
        <v>45473.833333333336</v>
      </c>
      <c r="F23" s="37" t="str">
        <f>K8</f>
        <v>Jamaica</v>
      </c>
      <c r="G23" s="37"/>
      <c r="H23" s="115"/>
      <c r="I23" s="116"/>
      <c r="J23" s="37"/>
      <c r="K23" s="2" t="str">
        <f>K7</f>
        <v>Venezuela</v>
      </c>
      <c r="N23" s="179" t="s">
        <v>464</v>
      </c>
      <c r="O23" s="7"/>
      <c r="P23" s="81">
        <v>1</v>
      </c>
      <c r="Q23" s="82" t="str">
        <f>INDEX(Calculator!$U$16:$U$19,MATCH(1,Calculator!$BK$16:$BK$19,0),0)</f>
        <v>Brazil</v>
      </c>
      <c r="R23" s="81">
        <f>VLOOKUP($Q23,Calculator!$C$4:$K$35,2,FALSE)</f>
        <v>0</v>
      </c>
      <c r="S23" s="81">
        <f>VLOOKUP($Q23,Calculator!$C$4:$K$35,3,FALSE)</f>
        <v>0</v>
      </c>
      <c r="T23" s="81">
        <f>VLOOKUP($Q23,Calculator!$C$4:$K$35,4,FALSE)</f>
        <v>0</v>
      </c>
      <c r="U23" s="81">
        <f>VLOOKUP($Q23,Calculator!$C$4:$K$35,5,FALSE)</f>
        <v>0</v>
      </c>
      <c r="V23" s="81" t="str">
        <f>VLOOKUP($Q23,Calculator!$C$4:$K$35,6,FALSE)&amp;" - "&amp;VLOOKUP($Q23,Calculator!$C$4:$K$35,7,FALSE)</f>
        <v>0 - 0</v>
      </c>
      <c r="W23" s="81">
        <f>VLOOKUP($Q23,Calculator!$C$4:$K$35,9,FALSE)</f>
        <v>0</v>
      </c>
      <c r="X23" s="8"/>
      <c r="Y23" s="71"/>
      <c r="CO23" s="12"/>
      <c r="CP23" s="12"/>
      <c r="CQ23" s="23"/>
      <c r="CR23" s="12"/>
    </row>
    <row r="24" spans="1:96" s="2" customFormat="1" ht="14.45" customHeight="1" x14ac:dyDescent="0.25">
      <c r="B24" s="24">
        <v>20</v>
      </c>
      <c r="C24" s="30" t="s">
        <v>61</v>
      </c>
      <c r="D24" s="31">
        <f t="shared" si="0"/>
        <v>45473.833333333336</v>
      </c>
      <c r="E24" s="32">
        <f>Calculator!BX26</f>
        <v>45473.833333333336</v>
      </c>
      <c r="F24" s="33" t="str">
        <f>F8</f>
        <v>Mexico</v>
      </c>
      <c r="G24" s="33"/>
      <c r="H24" s="115"/>
      <c r="I24" s="116"/>
      <c r="J24" s="33"/>
      <c r="K24" s="34" t="str">
        <f>F7</f>
        <v>Ecuador</v>
      </c>
      <c r="L24" s="34"/>
      <c r="M24" s="34"/>
      <c r="N24" s="178" t="s">
        <v>462</v>
      </c>
      <c r="O24" s="7"/>
      <c r="P24" s="81">
        <v>2</v>
      </c>
      <c r="Q24" s="82" t="str">
        <f>INDEX(Calculator!$U$16:$U$19,MATCH(2,Calculator!$BK$16:$BK$19,0),0)</f>
        <v>Colombia</v>
      </c>
      <c r="R24" s="81">
        <f>VLOOKUP($Q24,Calculator!$C$4:$K$35,2,FALSE)</f>
        <v>0</v>
      </c>
      <c r="S24" s="81">
        <f>VLOOKUP($Q24,Calculator!$C$4:$K$35,3,FALSE)</f>
        <v>0</v>
      </c>
      <c r="T24" s="81">
        <f>VLOOKUP($Q24,Calculator!$C$4:$K$35,4,FALSE)</f>
        <v>0</v>
      </c>
      <c r="U24" s="81">
        <f>VLOOKUP($Q24,Calculator!$C$4:$K$35,5,FALSE)</f>
        <v>0</v>
      </c>
      <c r="V24" s="81" t="str">
        <f>VLOOKUP($Q24,Calculator!$C$4:$K$35,6,FALSE)&amp;" - "&amp;VLOOKUP($Q24,Calculator!$C$4:$K$35,7,FALSE)</f>
        <v>0 - 0</v>
      </c>
      <c r="W24" s="81">
        <f>VLOOKUP($Q24,Calculator!$C$4:$K$35,9,FALSE)</f>
        <v>0</v>
      </c>
      <c r="X24" s="8"/>
      <c r="Y24" s="71"/>
      <c r="CO24" s="12"/>
      <c r="CP24" s="12"/>
      <c r="CQ24" s="23"/>
      <c r="CR24" s="12"/>
    </row>
    <row r="25" spans="1:96" s="2" customFormat="1" ht="14.45" customHeight="1" x14ac:dyDescent="0.25">
      <c r="B25" s="24">
        <v>21</v>
      </c>
      <c r="C25" s="13" t="s">
        <v>62</v>
      </c>
      <c r="D25" s="35">
        <f t="shared" si="0"/>
        <v>45474.875</v>
      </c>
      <c r="E25" s="36">
        <f>Calculator!BX27</f>
        <v>45474.875</v>
      </c>
      <c r="F25" s="37" t="str">
        <f>K9</f>
        <v>Bolivia</v>
      </c>
      <c r="G25" s="37"/>
      <c r="H25" s="115"/>
      <c r="I25" s="116"/>
      <c r="J25" s="37"/>
      <c r="K25" s="2" t="str">
        <f>K10</f>
        <v>Panama</v>
      </c>
      <c r="N25" s="179" t="s">
        <v>463</v>
      </c>
      <c r="O25" s="7"/>
      <c r="P25" s="38">
        <v>3</v>
      </c>
      <c r="Q25" s="39" t="str">
        <f>INDEX(Calculator!$U$16:$U$19,MATCH(3,Calculator!$BK$16:$BK$19,0),0)</f>
        <v>Costa Rica</v>
      </c>
      <c r="R25" s="38">
        <f>VLOOKUP($Q25,Calculator!$C$4:$K$35,2,FALSE)</f>
        <v>0</v>
      </c>
      <c r="S25" s="38">
        <f>VLOOKUP($Q25,Calculator!$C$4:$K$35,3,FALSE)</f>
        <v>0</v>
      </c>
      <c r="T25" s="38">
        <f>VLOOKUP($Q25,Calculator!$C$4:$K$35,4,FALSE)</f>
        <v>0</v>
      </c>
      <c r="U25" s="38">
        <f>VLOOKUP($Q25,Calculator!$C$4:$K$35,5,FALSE)</f>
        <v>0</v>
      </c>
      <c r="V25" s="38" t="str">
        <f>VLOOKUP($Q25,Calculator!$C$4:$K$35,6,FALSE)&amp;" - "&amp;VLOOKUP($Q25,Calculator!$C$4:$K$35,7,FALSE)</f>
        <v>0 - 0</v>
      </c>
      <c r="W25" s="38">
        <f>VLOOKUP($Q25,Calculator!$C$4:$K$35,9,FALSE)</f>
        <v>0</v>
      </c>
      <c r="X25" s="8"/>
      <c r="Y25" s="71"/>
      <c r="CO25" s="12"/>
      <c r="CP25" s="12"/>
      <c r="CQ25" s="23"/>
      <c r="CR25" s="12"/>
    </row>
    <row r="26" spans="1:96" s="2" customFormat="1" ht="14.45" customHeight="1" x14ac:dyDescent="0.25">
      <c r="B26" s="24">
        <v>22</v>
      </c>
      <c r="C26" s="30" t="s">
        <v>62</v>
      </c>
      <c r="D26" s="31">
        <f t="shared" si="0"/>
        <v>45474.875</v>
      </c>
      <c r="E26" s="32">
        <f>Calculator!BX28</f>
        <v>45474.875</v>
      </c>
      <c r="F26" s="33" t="str">
        <f>F9</f>
        <v>United States</v>
      </c>
      <c r="G26" s="33"/>
      <c r="H26" s="115"/>
      <c r="I26" s="116"/>
      <c r="J26" s="33"/>
      <c r="K26" s="34" t="str">
        <f>F10</f>
        <v>Uruguay</v>
      </c>
      <c r="L26" s="34"/>
      <c r="M26" s="34"/>
      <c r="N26" s="178" t="s">
        <v>465</v>
      </c>
      <c r="O26" s="7"/>
      <c r="P26" s="38">
        <v>4</v>
      </c>
      <c r="Q26" s="39" t="str">
        <f>INDEX(Calculator!$U$16:$U$19,MATCH(4,Calculator!$BK$16:$BK$19,0),0)</f>
        <v>Paraguay</v>
      </c>
      <c r="R26" s="38">
        <f>VLOOKUP($Q26,Calculator!$C$4:$K$35,2,FALSE)</f>
        <v>0</v>
      </c>
      <c r="S26" s="38">
        <f>VLOOKUP($Q26,Calculator!$C$4:$K$35,3,FALSE)</f>
        <v>0</v>
      </c>
      <c r="T26" s="38">
        <f>VLOOKUP($Q26,Calculator!$C$4:$K$35,4,FALSE)</f>
        <v>0</v>
      </c>
      <c r="U26" s="38">
        <f>VLOOKUP($Q26,Calculator!$C$4:$K$35,5,FALSE)</f>
        <v>0</v>
      </c>
      <c r="V26" s="38" t="str">
        <f>VLOOKUP($Q26,Calculator!$C$4:$K$35,6,FALSE)&amp;" - "&amp;VLOOKUP($Q26,Calculator!$C$4:$K$35,7,FALSE)</f>
        <v>0 - 0</v>
      </c>
      <c r="W26" s="38">
        <f>VLOOKUP($Q26,Calculator!$C$4:$K$35,9,FALSE)</f>
        <v>0</v>
      </c>
      <c r="X26" s="8"/>
      <c r="Y26" s="71"/>
      <c r="CO26" s="12"/>
      <c r="CP26" s="12"/>
      <c r="CQ26" s="23"/>
      <c r="CR26" s="12"/>
    </row>
    <row r="27" spans="1:96" s="2" customFormat="1" ht="14.45" customHeight="1" x14ac:dyDescent="0.25">
      <c r="B27" s="24">
        <v>23</v>
      </c>
      <c r="C27" s="13" t="s">
        <v>56</v>
      </c>
      <c r="D27" s="35">
        <f t="shared" si="0"/>
        <v>45475.875</v>
      </c>
      <c r="E27" s="36">
        <f>Calculator!BX29</f>
        <v>45475.875</v>
      </c>
      <c r="F27" s="37" t="str">
        <f>K12</f>
        <v>Costa Rica</v>
      </c>
      <c r="G27" s="37"/>
      <c r="H27" s="115"/>
      <c r="I27" s="116"/>
      <c r="J27" s="37"/>
      <c r="K27" s="2" t="str">
        <f>K11</f>
        <v>Paraguay</v>
      </c>
      <c r="N27" s="179" t="s">
        <v>464</v>
      </c>
      <c r="O27" s="7"/>
      <c r="P27" s="20"/>
      <c r="Q27" s="40"/>
      <c r="R27" s="7"/>
      <c r="S27" s="7"/>
      <c r="T27" s="7"/>
      <c r="U27" s="7"/>
      <c r="V27" s="7"/>
      <c r="W27" s="7"/>
      <c r="X27" s="8"/>
      <c r="Y27" s="71"/>
      <c r="CO27" s="12"/>
      <c r="CP27" s="12"/>
      <c r="CQ27" s="23"/>
      <c r="CR27" s="12"/>
    </row>
    <row r="28" spans="1:96" s="2" customFormat="1" ht="14.45" customHeight="1" x14ac:dyDescent="0.25">
      <c r="B28" s="24">
        <v>24</v>
      </c>
      <c r="C28" s="30" t="s">
        <v>56</v>
      </c>
      <c r="D28" s="31">
        <f t="shared" si="0"/>
        <v>45475.875</v>
      </c>
      <c r="E28" s="32">
        <f>Calculator!BX30</f>
        <v>45475.875</v>
      </c>
      <c r="F28" s="33" t="str">
        <f>F12</f>
        <v>Brazil</v>
      </c>
      <c r="G28" s="33"/>
      <c r="H28" s="115"/>
      <c r="I28" s="116"/>
      <c r="J28" s="33"/>
      <c r="K28" s="34" t="str">
        <f>F11</f>
        <v>Colombia</v>
      </c>
      <c r="L28" s="34"/>
      <c r="M28" s="34"/>
      <c r="N28" s="178" t="s">
        <v>455</v>
      </c>
      <c r="O28" s="7"/>
      <c r="P28" s="20"/>
      <c r="Q28" s="40"/>
      <c r="R28" s="7"/>
      <c r="S28" s="7"/>
      <c r="T28" s="7"/>
      <c r="U28" s="7"/>
      <c r="V28" s="7"/>
      <c r="W28" s="7"/>
      <c r="X28" s="8"/>
      <c r="Y28" s="71"/>
      <c r="CO28" s="12"/>
      <c r="CP28" s="12"/>
      <c r="CQ28" s="23"/>
      <c r="CR28" s="12"/>
    </row>
    <row r="29" spans="1:96" s="2" customFormat="1" ht="14.45" customHeight="1" x14ac:dyDescent="0.25">
      <c r="B29" s="148" t="str">
        <f>INDEX(Translation,MATCH("Knock Out Rounds",TransRef,0),MATCH(Setup!C5,LanguageRef,0))</f>
        <v>Knock Out Rounds</v>
      </c>
      <c r="C29" s="149"/>
      <c r="D29" s="150"/>
      <c r="E29" s="151"/>
      <c r="F29" s="152"/>
      <c r="G29" s="152"/>
      <c r="H29" s="153"/>
      <c r="I29" s="153"/>
      <c r="J29" s="152"/>
      <c r="K29" s="154"/>
      <c r="L29" s="217" t="s">
        <v>67</v>
      </c>
      <c r="M29" s="217"/>
      <c r="N29" s="180"/>
      <c r="X29" s="8"/>
      <c r="Y29" s="71"/>
      <c r="CO29" s="12"/>
      <c r="CP29" s="12"/>
      <c r="CQ29" s="23"/>
      <c r="CR29" s="12"/>
    </row>
    <row r="30" spans="1:96" s="2" customFormat="1" ht="14.45" customHeight="1" x14ac:dyDescent="0.25">
      <c r="B30" s="43">
        <v>25</v>
      </c>
      <c r="C30" s="220" t="s">
        <v>74</v>
      </c>
      <c r="D30" s="31">
        <f t="shared" si="0"/>
        <v>45477.833333333336</v>
      </c>
      <c r="E30" s="32">
        <f>Calculator!BX31</f>
        <v>45477.833333333336</v>
      </c>
      <c r="F30" s="33" t="str">
        <f>IF(SUM(R5:R8)=12,Q5,INDEX(Translation,MATCH("Group A Winner",TransRef,0),MATCH(Setup!C5,LanguageRef,0)))</f>
        <v>Group A Winner</v>
      </c>
      <c r="G30" s="44"/>
      <c r="H30" s="115"/>
      <c r="I30" s="116"/>
      <c r="J30" s="44"/>
      <c r="K30" s="34" t="str">
        <f>IF(SUM(R11:R14)=12,Q12,INDEX(Translation,MATCH("Group B Runner Up",TransRef,0),MATCH(Setup!C5,LanguageRef,0)))</f>
        <v>Group B Runner Up</v>
      </c>
      <c r="L30" s="129"/>
      <c r="M30" s="130"/>
      <c r="N30" s="181" t="s">
        <v>456</v>
      </c>
      <c r="X30" s="8"/>
      <c r="Y30" s="71"/>
      <c r="CO30" s="12"/>
      <c r="CP30" s="12"/>
      <c r="CQ30" s="23"/>
      <c r="CR30" s="12"/>
    </row>
    <row r="31" spans="1:96" s="2" customFormat="1" ht="14.45" customHeight="1" x14ac:dyDescent="0.25">
      <c r="A31" s="46"/>
      <c r="B31" s="43">
        <v>26</v>
      </c>
      <c r="C31" s="221"/>
      <c r="D31" s="35">
        <f t="shared" si="0"/>
        <v>45478.833333333336</v>
      </c>
      <c r="E31" s="36">
        <f>Calculator!BX32</f>
        <v>45478.833333333336</v>
      </c>
      <c r="F31" s="37" t="str">
        <f>IF(SUM(R11:R14)=12,Q11,INDEX(Translation,MATCH("Group B Winner",TransRef,0),MATCH(Setup!C5,LanguageRef,0)))</f>
        <v>Group B Winner</v>
      </c>
      <c r="G31" s="61"/>
      <c r="H31" s="113"/>
      <c r="I31" s="114"/>
      <c r="J31" s="61"/>
      <c r="K31" s="2" t="str">
        <f>IF(SUM(R5:R8)=12,Q6,INDEX(Translation,MATCH("Group A Runner Up",TransRef,0),MATCH(Setup!C5,LanguageRef,0)))</f>
        <v>Group A Runner Up</v>
      </c>
      <c r="L31" s="125"/>
      <c r="M31" s="126"/>
      <c r="N31" s="182" t="s">
        <v>454</v>
      </c>
      <c r="X31" s="8"/>
      <c r="Y31" s="71"/>
      <c r="CO31" s="12"/>
      <c r="CP31" s="12"/>
      <c r="CQ31" s="23"/>
      <c r="CR31" s="12"/>
    </row>
    <row r="32" spans="1:96" s="2" customFormat="1" ht="14.45" customHeight="1" x14ac:dyDescent="0.25">
      <c r="A32" s="46"/>
      <c r="B32" s="43">
        <v>27</v>
      </c>
      <c r="C32" s="221"/>
      <c r="D32" s="31">
        <f t="shared" si="0"/>
        <v>45479.75</v>
      </c>
      <c r="E32" s="32">
        <f>Calculator!BX33</f>
        <v>45479.75</v>
      </c>
      <c r="F32" s="33" t="str">
        <f>IF(SUM(R17:R20)=12,Q17,INDEX(Translation,MATCH("Group C Winner",TransRef,0),MATCH(Setup!C5,LanguageRef,0)))</f>
        <v>Group C Winner</v>
      </c>
      <c r="G32" s="44"/>
      <c r="H32" s="113"/>
      <c r="I32" s="114"/>
      <c r="J32" s="44"/>
      <c r="K32" s="34" t="str">
        <f>IF(SUM(R23:R26)=12,Q24,INDEX(Translation,MATCH("Group D Runner Up",TransRef,0),MATCH(Setup!C5,LanguageRef,0)))</f>
        <v>Group D Runner Up</v>
      </c>
      <c r="L32" s="123"/>
      <c r="M32" s="124"/>
      <c r="N32" s="181" t="s">
        <v>461</v>
      </c>
      <c r="X32" s="8"/>
      <c r="Y32" s="71"/>
      <c r="CO32" s="12"/>
      <c r="CP32" s="12"/>
      <c r="CQ32" s="23" t="s">
        <v>68</v>
      </c>
      <c r="CR32" s="12"/>
    </row>
    <row r="33" spans="1:96" s="2" customFormat="1" ht="14.45" customHeight="1" x14ac:dyDescent="0.25">
      <c r="A33" s="46"/>
      <c r="B33" s="45">
        <v>28</v>
      </c>
      <c r="C33" s="221"/>
      <c r="D33" s="83">
        <f t="shared" si="0"/>
        <v>45479.625</v>
      </c>
      <c r="E33" s="84">
        <f>Calculator!BX34</f>
        <v>45479.625</v>
      </c>
      <c r="F33" s="85" t="str">
        <f>IF(SUM(R23:R26)=12,Q23,INDEX(Translation,MATCH("Group D Winner",TransRef,0),MATCH(Setup!C5,LanguageRef,0)))</f>
        <v>Group D Winner</v>
      </c>
      <c r="G33" s="86"/>
      <c r="H33" s="117"/>
      <c r="I33" s="118"/>
      <c r="J33" s="86"/>
      <c r="K33" s="87" t="str">
        <f>IF(SUM(R17:R20)=12,Q18,INDEX(Translation,MATCH("Group C Runner Up",TransRef,0),MATCH(Setup!C5,LanguageRef,0)))</f>
        <v>Group C Runner Up</v>
      </c>
      <c r="L33" s="127"/>
      <c r="M33" s="128"/>
      <c r="N33" s="183" t="s">
        <v>462</v>
      </c>
      <c r="X33" s="8"/>
      <c r="Y33" s="71"/>
      <c r="CO33" s="12"/>
      <c r="CP33" s="12"/>
      <c r="CQ33" s="23" t="s">
        <v>69</v>
      </c>
      <c r="CR33" s="12"/>
    </row>
    <row r="34" spans="1:96" s="2" customFormat="1" ht="14.45" customHeight="1" x14ac:dyDescent="0.25">
      <c r="A34" s="46"/>
      <c r="B34" s="42">
        <v>29</v>
      </c>
      <c r="C34" s="222" t="s">
        <v>76</v>
      </c>
      <c r="D34" s="31">
        <f t="shared" si="0"/>
        <v>45482.833333333336</v>
      </c>
      <c r="E34" s="32">
        <f>Calculator!BX35</f>
        <v>45482.833333333336</v>
      </c>
      <c r="F34" s="33" t="str">
        <f>IF(AND(H31&lt;&gt;"",I31&lt;&gt;""),IF((H31+L31)&gt;(I31+M31),F31,IF((H31+L31)&lt;(I31+M31),K31,INDEX(Translation,MATCH("Match 25 Winner",TransRef,0),MATCH(Setup!C5,LanguageRef,0)))),INDEX(Translation,MATCH("Match 25 Winner",TransRef,0),MATCH(Setup!C5,LanguageRef,0)))</f>
        <v>Match 25 Winner</v>
      </c>
      <c r="G34" s="44"/>
      <c r="H34" s="115"/>
      <c r="I34" s="116"/>
      <c r="J34" s="44"/>
      <c r="K34" s="34" t="str">
        <f>IF(AND(H30&lt;&gt;"",I30&lt;&gt;""),IF((H30+L30)&gt;(I30+M30),F30,IF((H30+L30)&lt;(I30+M30),K30,INDEX(Translation,MATCH("Match 26 Winner",TransRef,0),MATCH(Setup!C5,LanguageRef,0)))),INDEX(Translation,MATCH("Match 26 Winner",TransRef,0),MATCH(Setup!C5,LanguageRef,0)))</f>
        <v>Match 26 Winner</v>
      </c>
      <c r="L34" s="129"/>
      <c r="M34" s="130"/>
      <c r="N34" s="181" t="s">
        <v>460</v>
      </c>
      <c r="X34" s="8"/>
      <c r="Y34" s="71"/>
      <c r="CO34" s="12"/>
      <c r="CP34" s="12"/>
      <c r="CQ34" s="23" t="s">
        <v>70</v>
      </c>
      <c r="CR34" s="12"/>
    </row>
    <row r="35" spans="1:96" s="2" customFormat="1" ht="14.45" customHeight="1" x14ac:dyDescent="0.25">
      <c r="A35" s="46"/>
      <c r="B35" s="45">
        <v>30</v>
      </c>
      <c r="C35" s="222"/>
      <c r="D35" s="83">
        <f t="shared" si="0"/>
        <v>45482.833333333336</v>
      </c>
      <c r="E35" s="84">
        <f>Calculator!BX35</f>
        <v>45482.833333333336</v>
      </c>
      <c r="F35" s="85" t="str">
        <f>IF(AND(H33&lt;&gt;"",I33&lt;&gt;""),IF((H33+L33)&gt;(I33+M33),F33,IF((H33+L33)&lt;(I33+M33),K33,INDEX(Translation,MATCH("Match 27 Winner",TransRef,0),MATCH(Setup!C5,LanguageRef,0)))),INDEX(Translation,MATCH("Match 27 Winner",TransRef,0),MATCH(Setup!C5,LanguageRef,0)))</f>
        <v>Match 27 Winner</v>
      </c>
      <c r="G35" s="86"/>
      <c r="H35" s="117"/>
      <c r="I35" s="118"/>
      <c r="J35" s="86"/>
      <c r="K35" s="87" t="str">
        <f>IF(AND(H32&lt;&gt;"",I32&lt;&gt;""),IF((H32+L32)&gt;(I32+M32),F32,IF((H32+L32)&lt;(I32+M32),K32,INDEX(Translation,MATCH("Match 28 Winner",TransRef,0),MATCH(Setup!C5,LanguageRef,0)))),INDEX(Translation,MATCH("Match 28 Winner",TransRef,0),MATCH(Setup!C5,LanguageRef,0)))</f>
        <v>Match 28 Winner</v>
      </c>
      <c r="L35" s="127"/>
      <c r="M35" s="128"/>
      <c r="N35" s="183" t="s">
        <v>466</v>
      </c>
      <c r="X35" s="8"/>
      <c r="Y35" s="71"/>
      <c r="CO35" s="12"/>
      <c r="CP35" s="12"/>
      <c r="CQ35" s="23" t="s">
        <v>71</v>
      </c>
      <c r="CR35" s="12"/>
    </row>
    <row r="36" spans="1:96" s="2" customFormat="1" ht="14.45" customHeight="1" x14ac:dyDescent="0.25">
      <c r="A36" s="46"/>
      <c r="B36" s="47">
        <v>31</v>
      </c>
      <c r="C36" s="155" t="s">
        <v>77</v>
      </c>
      <c r="D36" s="48">
        <f t="shared" si="0"/>
        <v>45486.833333333336</v>
      </c>
      <c r="E36" s="49">
        <f>Calculator!BX37</f>
        <v>45486.833333333336</v>
      </c>
      <c r="F36" s="50" t="str">
        <f>IF(AND(H34&lt;&gt;"",I34&lt;&gt;""),IF((H34+L34)&lt;(I34+M34),F34,IF((H34+L34)&gt;(I34+M34),K34,INDEX(Translation,MATCH("Match 29 Loser",TransRef,0),MATCH(Setup!C5,LanguageRef,0)))),INDEX(Translation,MATCH("Match 29 Loser",TransRef,0),MATCH(Setup!C5,LanguageRef,0)))</f>
        <v>Match 29 Loser</v>
      </c>
      <c r="G36" s="51"/>
      <c r="H36" s="121"/>
      <c r="I36" s="122"/>
      <c r="J36" s="51"/>
      <c r="K36" s="52" t="str">
        <f>IF(AND(H35&lt;&gt;"",I35&lt;&gt;""),IF((H35+L35)&lt;(I35+M35),F35,IF((H35+L35)&gt;(I35+M35),K35,INDEX(Translation,MATCH("Match 30 Loser",TransRef,0),MATCH(Setup!C5,LanguageRef,0)))),INDEX(Translation,MATCH("Match 30 Loser",TransRef,0),MATCH(Setup!C5,LanguageRef,0)))</f>
        <v>Match 30 Loser</v>
      </c>
      <c r="L36" s="133"/>
      <c r="M36" s="134"/>
      <c r="N36" s="184" t="s">
        <v>466</v>
      </c>
      <c r="X36" s="8"/>
      <c r="Y36" s="71"/>
      <c r="CO36" s="12"/>
      <c r="CP36" s="12"/>
      <c r="CQ36" s="23" t="s">
        <v>72</v>
      </c>
      <c r="CR36" s="12"/>
    </row>
    <row r="37" spans="1:96" s="2" customFormat="1" ht="14.45" customHeight="1" x14ac:dyDescent="0.25">
      <c r="A37" s="46"/>
      <c r="B37" s="47">
        <v>32</v>
      </c>
      <c r="C37" s="155" t="s">
        <v>63</v>
      </c>
      <c r="D37" s="88">
        <f t="shared" ref="D37" si="1">E37</f>
        <v>45487.833333333336</v>
      </c>
      <c r="E37" s="89">
        <f>Calculator!BX38</f>
        <v>45487.833333333336</v>
      </c>
      <c r="F37" s="90" t="str">
        <f>IF(AND(H34&lt;&gt;"",I34&lt;&gt;""),IF((H34+L34)&gt;(I34+M34),F34,IF((H34+L34)&lt;(I34+M34),K34,INDEX(Translation,MATCH("Match 29 Winner",TransRef,0),MATCH(Setup!C5,LanguageRef,0)))),INDEX(Translation,MATCH("Match 29 Winner",TransRef,0),MATCH(Setup!C5,LanguageRef,0)))</f>
        <v>Match 29 Winner</v>
      </c>
      <c r="G37" s="91"/>
      <c r="H37" s="119"/>
      <c r="I37" s="120"/>
      <c r="J37" s="91"/>
      <c r="K37" s="92" t="str">
        <f>IF(AND(H35&lt;&gt;"",I35&lt;&gt;""),IF((H35+L35)&gt;(I35+M35),F35,IF((H35+L35)&lt;(I35+M35),K35,INDEX(Translation,MATCH("Match 30 Winner",TransRef,0),MATCH(Setup!C5,LanguageRef,0)))),INDEX(Translation,MATCH("Match 30 Winner",TransRef,0),MATCH(Setup!C5,LanguageRef,0)))</f>
        <v>Match 30 Winner</v>
      </c>
      <c r="L37" s="131"/>
      <c r="M37" s="132"/>
      <c r="N37" s="185" t="s">
        <v>467</v>
      </c>
      <c r="X37" s="8"/>
      <c r="Y37" s="71"/>
      <c r="CO37" s="12"/>
      <c r="CP37" s="12"/>
      <c r="CQ37" s="23" t="s">
        <v>73</v>
      </c>
      <c r="CR37" s="12"/>
    </row>
    <row r="38" spans="1:96" s="2" customFormat="1" ht="5.0999999999999996" customHeight="1" x14ac:dyDescent="0.25">
      <c r="A38" s="46"/>
      <c r="D38" s="4"/>
      <c r="F38" s="5"/>
      <c r="G38" s="5"/>
      <c r="J38" s="5"/>
      <c r="K38" s="6"/>
      <c r="L38" s="6"/>
      <c r="M38" s="6"/>
      <c r="X38" s="8"/>
      <c r="Y38" s="71"/>
      <c r="CO38" s="12"/>
      <c r="CP38" s="12"/>
      <c r="CQ38" s="23" t="s">
        <v>75</v>
      </c>
      <c r="CR38" s="12"/>
    </row>
    <row r="39" spans="1:96" ht="14.45" customHeight="1" x14ac:dyDescent="0.25">
      <c r="B39" s="219" t="str">
        <f>UPPER(INDEX(Translation,MATCH("Copa America 2024 Champion",TransRef,0),MATCH(Setup!$C$5,LanguageRef,0)))</f>
        <v>COPA AMERICA 2024 CHAMPION</v>
      </c>
      <c r="C39" s="219"/>
      <c r="D39" s="219"/>
      <c r="E39" s="219"/>
      <c r="F39" s="219"/>
      <c r="G39" s="219"/>
      <c r="H39" s="219"/>
      <c r="I39" s="219"/>
      <c r="J39" s="219"/>
      <c r="K39" s="219"/>
      <c r="L39" s="219"/>
      <c r="M39" s="219"/>
      <c r="N39" s="219"/>
      <c r="O39" s="2"/>
      <c r="P39" s="215" t="str">
        <f>INDEX(Translation,MATCH("Second Place",TransRef,0),MATCH(Setup!$C$5,LanguageRef,0))</f>
        <v>Second place</v>
      </c>
      <c r="Q39" s="215"/>
      <c r="R39" s="215"/>
      <c r="S39" s="215"/>
      <c r="T39" s="215"/>
      <c r="U39" s="215"/>
      <c r="V39" s="215"/>
      <c r="W39" s="215"/>
      <c r="X39" s="8"/>
      <c r="Y39" s="71"/>
    </row>
    <row r="40" spans="1:96" ht="14.45" customHeight="1" x14ac:dyDescent="0.25">
      <c r="B40" s="219"/>
      <c r="C40" s="219"/>
      <c r="D40" s="219"/>
      <c r="E40" s="219"/>
      <c r="F40" s="219"/>
      <c r="G40" s="219"/>
      <c r="H40" s="219"/>
      <c r="I40" s="219"/>
      <c r="J40" s="219"/>
      <c r="K40" s="219"/>
      <c r="L40" s="219"/>
      <c r="M40" s="219"/>
      <c r="N40" s="219"/>
      <c r="O40" s="53"/>
      <c r="P40" s="216" t="str">
        <f>UPPER(IF(AND(H37&lt;&gt;"",I37&lt;&gt;""),IF((H37+L37)&lt;(I37+M37),F37,IF((H37+L37)&gt;(I37+M37),K37,INDEX(Translation,MATCH("Copa America 2024 Runner Up",TransRef,0),MATCH(Setup!C5,LanguageRef,0)))),INDEX(Translation,MATCH("Copa America 2024 Runner Up",TransRef,0),MATCH(Setup!C5,LanguageRef,0))))</f>
        <v>COPA AMERICA 2024 RUNNER UP</v>
      </c>
      <c r="Q40" s="216"/>
      <c r="R40" s="216"/>
      <c r="S40" s="216"/>
      <c r="T40" s="216"/>
      <c r="U40" s="216"/>
      <c r="V40" s="216"/>
      <c r="W40" s="216"/>
      <c r="X40" s="8"/>
      <c r="Y40" s="71"/>
    </row>
    <row r="41" spans="1:96" ht="14.45" customHeight="1" x14ac:dyDescent="0.25">
      <c r="B41" s="219"/>
      <c r="C41" s="219"/>
      <c r="D41" s="219"/>
      <c r="E41" s="219"/>
      <c r="F41" s="219"/>
      <c r="G41" s="219"/>
      <c r="H41" s="219"/>
      <c r="I41" s="219"/>
      <c r="J41" s="219"/>
      <c r="K41" s="219"/>
      <c r="L41" s="219"/>
      <c r="M41" s="219"/>
      <c r="N41" s="219"/>
      <c r="O41" s="2"/>
      <c r="P41" s="216"/>
      <c r="Q41" s="216"/>
      <c r="R41" s="216"/>
      <c r="S41" s="216"/>
      <c r="T41" s="216"/>
      <c r="U41" s="216"/>
      <c r="V41" s="216"/>
      <c r="W41" s="216"/>
      <c r="X41" s="8"/>
      <c r="Y41" s="71"/>
    </row>
    <row r="42" spans="1:96" ht="14.45" customHeight="1" x14ac:dyDescent="0.25">
      <c r="B42" s="218" t="str">
        <f>UPPER(IF(AND(H37&lt;&gt;"",I37&lt;&gt;""),IF((H37+L37)&gt;(I37+M37),F37,IF((H37+L37)&lt;(I37+M37),K37,INDEX(Translation,MATCH("Copa America 2024 Champion",TransRef,0),MATCH(Setup!C5,LanguageRef,0)))),INDEX(Translation,MATCH("Copa America 2024 Champion",TransRef,0),MATCH(Setup!C5,LanguageRef,0))))</f>
        <v>COPA AMERICA 2024 CHAMPION</v>
      </c>
      <c r="C42" s="218"/>
      <c r="D42" s="218"/>
      <c r="E42" s="218"/>
      <c r="F42" s="218"/>
      <c r="G42" s="218"/>
      <c r="H42" s="218"/>
      <c r="I42" s="218"/>
      <c r="J42" s="218"/>
      <c r="K42" s="218"/>
      <c r="L42" s="218"/>
      <c r="M42" s="218"/>
      <c r="N42" s="218"/>
      <c r="O42" s="2"/>
      <c r="P42" s="215" t="str">
        <f>INDEX(Translation,MATCH("Third Place",TransRef,0),MATCH(Setup!$C$5,LanguageRef,0))</f>
        <v>Third Place</v>
      </c>
      <c r="Q42" s="215"/>
      <c r="R42" s="215"/>
      <c r="S42" s="215"/>
      <c r="T42" s="215"/>
      <c r="U42" s="215"/>
      <c r="V42" s="215"/>
      <c r="W42" s="215"/>
      <c r="X42" s="8"/>
      <c r="Y42" s="71"/>
    </row>
    <row r="43" spans="1:96" ht="14.45" customHeight="1" x14ac:dyDescent="0.25">
      <c r="B43" s="218"/>
      <c r="C43" s="218"/>
      <c r="D43" s="218"/>
      <c r="E43" s="218"/>
      <c r="F43" s="218"/>
      <c r="G43" s="218"/>
      <c r="H43" s="218"/>
      <c r="I43" s="218"/>
      <c r="J43" s="218"/>
      <c r="K43" s="218"/>
      <c r="L43" s="218"/>
      <c r="M43" s="218"/>
      <c r="N43" s="218"/>
      <c r="O43" s="2"/>
      <c r="P43" s="216" t="str">
        <f>UPPER(IF(AND(H36&lt;&gt;"",I36&lt;&gt;""),IF((H36+L36)&gt;(I36+M36),F36,IF((H36+L36)&lt;(I36+M36),K36,INDEX(Translation,MATCH("Copa America 2024 3rd Place",TransRef,0),MATCH(Setup!C5,LanguageRef,0)))),INDEX(Translation,MATCH("Copa America 2024 3rd Place",TransRef,0),MATCH(Setup!C5,LanguageRef,0))))</f>
        <v>COPA AMERICA 2024 3RD PLACE</v>
      </c>
      <c r="Q43" s="216"/>
      <c r="R43" s="216"/>
      <c r="S43" s="216"/>
      <c r="T43" s="216"/>
      <c r="U43" s="216"/>
      <c r="V43" s="216"/>
      <c r="W43" s="216"/>
      <c r="X43" s="8"/>
      <c r="Y43" s="71"/>
    </row>
    <row r="44" spans="1:96" ht="14.45" customHeight="1" x14ac:dyDescent="0.25">
      <c r="B44" s="218"/>
      <c r="C44" s="218"/>
      <c r="D44" s="218"/>
      <c r="E44" s="218"/>
      <c r="F44" s="218"/>
      <c r="G44" s="218"/>
      <c r="H44" s="218"/>
      <c r="I44" s="218"/>
      <c r="J44" s="218"/>
      <c r="K44" s="218"/>
      <c r="L44" s="218"/>
      <c r="M44" s="218"/>
      <c r="N44" s="218"/>
      <c r="P44" s="216"/>
      <c r="Q44" s="216"/>
      <c r="R44" s="216"/>
      <c r="S44" s="216"/>
      <c r="T44" s="216"/>
      <c r="U44" s="216"/>
      <c r="V44" s="216"/>
      <c r="W44" s="216"/>
      <c r="X44" s="8"/>
      <c r="Y44" s="71"/>
    </row>
    <row r="45" spans="1:96" ht="14.45" customHeight="1" x14ac:dyDescent="0.25">
      <c r="B45" s="7" t="s">
        <v>78</v>
      </c>
      <c r="X45" s="8"/>
      <c r="Y45" s="71"/>
    </row>
    <row r="46" spans="1:96" ht="14.45" customHeight="1" x14ac:dyDescent="0.25">
      <c r="X46" s="8"/>
      <c r="Y46" s="71"/>
    </row>
    <row r="47" spans="1:96" hidden="1" x14ac:dyDescent="0.25">
      <c r="X47" s="8"/>
      <c r="Y47" s="71"/>
    </row>
    <row r="48" spans="1:96" hidden="1" x14ac:dyDescent="0.25">
      <c r="X48" s="8"/>
      <c r="Y48" s="71"/>
    </row>
    <row r="49" spans="24:25" hidden="1" x14ac:dyDescent="0.25">
      <c r="X49" s="8"/>
      <c r="Y49" s="71"/>
    </row>
    <row r="50" spans="24:25" hidden="1" x14ac:dyDescent="0.25">
      <c r="X50" s="8"/>
      <c r="Y50" s="71"/>
    </row>
    <row r="51" spans="24:25" hidden="1" x14ac:dyDescent="0.25">
      <c r="X51" s="8"/>
      <c r="Y51" s="71"/>
    </row>
    <row r="55" spans="24:25" ht="15.6" customHeight="1" x14ac:dyDescent="0.25"/>
    <row r="57" spans="24:25" ht="28.7" customHeight="1" x14ac:dyDescent="0.25"/>
    <row r="58" spans="24:25" ht="28.7" customHeight="1" x14ac:dyDescent="0.25"/>
    <row r="60" spans="24:25" ht="21" customHeight="1" x14ac:dyDescent="0.25"/>
    <row r="64" spans="24:25" x14ac:dyDescent="0.25"/>
    <row r="162" x14ac:dyDescent="0.25"/>
    <row r="163" x14ac:dyDescent="0.25"/>
    <row r="164" x14ac:dyDescent="0.25"/>
    <row r="165" x14ac:dyDescent="0.25"/>
    <row r="166" x14ac:dyDescent="0.25"/>
    <row r="167" x14ac:dyDescent="0.25"/>
    <row r="168" x14ac:dyDescent="0.25"/>
  </sheetData>
  <sheetProtection algorithmName="SHA-512" hashValue="sn7zhLWSDyAMrTHqdd8g+DhhZsKvu8x+ugDo2h1xANTepuYZXJvbFosygqkBknAkHgD7ODEQ+1T54c1DhdGt3g==" saltValue="Nli0686FFdok1JEOD4082A==" spinCount="100000" sheet="1" objects="1" scenarios="1"/>
  <mergeCells count="15">
    <mergeCell ref="P2:W2"/>
    <mergeCell ref="H3:I3"/>
    <mergeCell ref="P4:Q4"/>
    <mergeCell ref="P10:Q10"/>
    <mergeCell ref="P16:Q16"/>
    <mergeCell ref="P22:Q22"/>
    <mergeCell ref="P42:W42"/>
    <mergeCell ref="P43:W44"/>
    <mergeCell ref="L29:M29"/>
    <mergeCell ref="P40:W41"/>
    <mergeCell ref="P39:W39"/>
    <mergeCell ref="B42:N44"/>
    <mergeCell ref="B39:N41"/>
    <mergeCell ref="C30:C33"/>
    <mergeCell ref="C34:C35"/>
  </mergeCells>
  <conditionalFormatting sqref="F30:F37">
    <cfRule type="expression" dxfId="16" priority="5">
      <formula>$L30&gt;$M30</formula>
    </cfRule>
    <cfRule type="expression" dxfId="15" priority="6">
      <formula>$L30&lt;$M30</formula>
    </cfRule>
    <cfRule type="expression" dxfId="14" priority="11">
      <formula>$H30&lt;$I30</formula>
    </cfRule>
    <cfRule type="expression" dxfId="13" priority="12">
      <formula>$H30&gt;$I30</formula>
    </cfRule>
  </conditionalFormatting>
  <conditionalFormatting sqref="F5:G28 J5:J28">
    <cfRule type="expression" dxfId="12" priority="19">
      <formula>$H5&lt;$I5</formula>
    </cfRule>
    <cfRule type="expression" dxfId="11" priority="20">
      <formula>$H5&gt;$I5</formula>
    </cfRule>
  </conditionalFormatting>
  <conditionalFormatting sqref="H5:I28 H30:I37">
    <cfRule type="expression" dxfId="10" priority="33">
      <formula>ISTEXT(H5)</formula>
    </cfRule>
  </conditionalFormatting>
  <conditionalFormatting sqref="K5:K28">
    <cfRule type="expression" dxfId="9" priority="17">
      <formula>$H5&gt;$I5</formula>
    </cfRule>
    <cfRule type="expression" dxfId="8" priority="18">
      <formula>$H5&lt;$I5</formula>
    </cfRule>
  </conditionalFormatting>
  <conditionalFormatting sqref="K30:K37">
    <cfRule type="expression" dxfId="7" priority="7">
      <formula>$L30&lt;$M30</formula>
    </cfRule>
    <cfRule type="expression" dxfId="6" priority="8">
      <formula>$L30&gt;$M30</formula>
    </cfRule>
    <cfRule type="expression" dxfId="5" priority="9">
      <formula>$H30&gt;$I30</formula>
    </cfRule>
    <cfRule type="expression" dxfId="4" priority="10">
      <formula>$H30&lt;$I30</formula>
    </cfRule>
  </conditionalFormatting>
  <conditionalFormatting sqref="L30:M37">
    <cfRule type="expression" dxfId="3" priority="14">
      <formula>AND($H30&lt;&gt;"",$I30&lt;&gt;"",$H30=$I30)</formula>
    </cfRule>
  </conditionalFormatting>
  <conditionalFormatting sqref="P3:W28 B39 P39:W41 B42 P42:P43">
    <cfRule type="expression" dxfId="2" priority="42">
      <formula>$B$45&lt;&gt;"© 2022 | journalSHEET.com"</formula>
    </cfRule>
  </conditionalFormatting>
  <hyperlinks>
    <hyperlink ref="AE6" r:id="rId1" xr:uid="{E81A0CA0-16CE-48C5-9B8B-3B6C415A721D}"/>
    <hyperlink ref="P2:W2" location="About!A1" display="Click here to purchase the Unprotected Version for your Commercial Purposes" xr:uid="{4580D884-84FB-4F45-ABA7-63F06664CAFE}"/>
  </hyperlinks>
  <printOptions horizontalCentered="1" verticalCentered="1"/>
  <pageMargins left="0.25" right="0.25" top="0.25" bottom="0.25" header="0.25" footer="0.25"/>
  <pageSetup scale="90" orientation="landscape" horizontalDpi="300" verticalDpi="300" r:id="rId2"/>
  <headerFooter alignWithMargins="0"/>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4:CA152"/>
  <sheetViews>
    <sheetView showGridLines="0" zoomScaleNormal="100" workbookViewId="0">
      <selection activeCell="J2" sqref="J2"/>
    </sheetView>
  </sheetViews>
  <sheetFormatPr defaultColWidth="9.140625" defaultRowHeight="15" x14ac:dyDescent="0.25"/>
  <cols>
    <col min="1" max="1" width="5.85546875" style="22" bestFit="1" customWidth="1"/>
    <col min="2" max="2" width="2.28515625" style="22" bestFit="1" customWidth="1"/>
    <col min="3" max="3" width="12.7109375" style="22" bestFit="1" customWidth="1"/>
    <col min="4" max="7" width="6" style="22" bestFit="1" customWidth="1"/>
    <col min="8" max="9" width="2.28515625" style="22" bestFit="1" customWidth="1"/>
    <col min="10" max="10" width="3.42578125" style="22" customWidth="1"/>
    <col min="11" max="11" width="2.28515625" style="22" bestFit="1" customWidth="1"/>
    <col min="12" max="13" width="5.85546875" style="22" bestFit="1" customWidth="1"/>
    <col min="14" max="20" width="2.28515625" style="22" bestFit="1" customWidth="1"/>
    <col min="21" max="21" width="12.7109375" style="22" bestFit="1" customWidth="1"/>
    <col min="22" max="22" width="2.28515625" style="22" bestFit="1" customWidth="1"/>
    <col min="23" max="23" width="12.7109375" style="22" bestFit="1" customWidth="1"/>
    <col min="24" max="24" width="6.5703125" style="22" customWidth="1"/>
    <col min="25" max="25" width="9.140625" style="22"/>
    <col min="26" max="31" width="2.28515625" style="22" bestFit="1" customWidth="1"/>
    <col min="32" max="32" width="2.85546875" style="22" customWidth="1"/>
    <col min="33" max="48" width="2.28515625" style="22" bestFit="1" customWidth="1"/>
    <col min="49" max="49" width="1.85546875" style="22" bestFit="1" customWidth="1"/>
    <col min="50" max="63" width="2.28515625" style="22" bestFit="1" customWidth="1"/>
    <col min="64" max="64" width="9.140625" style="22"/>
    <col min="65" max="65" width="9.85546875" style="189" customWidth="1"/>
    <col min="66" max="66" width="3.28515625" style="189" customWidth="1"/>
    <col min="67" max="67" width="23" style="189" customWidth="1"/>
    <col min="68" max="68" width="30.85546875" style="189" customWidth="1"/>
    <col min="69" max="69" width="40.85546875" style="189" customWidth="1"/>
    <col min="70" max="70" width="4.7109375" style="189" bestFit="1" customWidth="1"/>
    <col min="71" max="71" width="9.28515625" style="189" bestFit="1" customWidth="1"/>
    <col min="72" max="72" width="13.5703125" style="189" customWidth="1"/>
    <col min="73" max="74" width="9.42578125" style="189" bestFit="1" customWidth="1"/>
    <col min="75" max="76" width="13.5703125" style="189" bestFit="1" customWidth="1"/>
    <col min="77" max="77" width="9.42578125" style="189" bestFit="1" customWidth="1"/>
    <col min="78" max="79" width="9.140625" style="189"/>
    <col min="80" max="16384" width="9.140625" style="22"/>
  </cols>
  <sheetData>
    <row r="4" spans="1:78" x14ac:dyDescent="0.25">
      <c r="A4" s="22">
        <f>INDEX(M4:M35,MATCH(U4,C4:C35,0),0)</f>
        <v>1862</v>
      </c>
      <c r="B4" s="22">
        <v>1</v>
      </c>
      <c r="C4" s="22" t="str">
        <f>BZ7</f>
        <v>Argentina</v>
      </c>
      <c r="D4" s="22">
        <f>SUM(E4:G4)</f>
        <v>0</v>
      </c>
      <c r="E4" s="22">
        <f>SUMPRODUCT((Matches!H5:H28&lt;&gt;"")*(Matches!F5:F28=C4)*(Matches!H5:H28&gt;Matches!I5:I28)*1)+SUMPRODUCT((Matches!H5:H28&lt;&gt;"")*(Matches!K5:K28=C4)*(Matches!I5:I28&gt;Matches!H5:H28)*1)</f>
        <v>0</v>
      </c>
      <c r="F4" s="22">
        <f>SUMPRODUCT((Matches!H5:H28&lt;&gt;"")*(Matches!F5:F28=C4)*(Matches!H5:H28=Matches!I5:I28)*1)+SUMPRODUCT((Matches!H5:H28&lt;&gt;"")*(Matches!K5:K28=C4)*(Matches!H5:H28=Matches!I5:I28)*1)</f>
        <v>0</v>
      </c>
      <c r="G4" s="22">
        <f>SUMPRODUCT((Matches!H5:H28&lt;&gt;"")*(Matches!F5:F28=C4)*(Matches!H5:H28&lt;Matches!I5:I28)*1)+SUMPRODUCT((Matches!H5:H28&lt;&gt;"")*(Matches!K5:K28=C4)*(Matches!I5:I28&lt;Matches!H5:H28)*1)</f>
        <v>0</v>
      </c>
      <c r="H4" s="22">
        <f>SUMIF(Matches!F5:F28,C4,Matches!H5:H28)+SUMIF(Matches!K5:K28,C4,Matches!I5:I28)</f>
        <v>0</v>
      </c>
      <c r="I4" s="22">
        <f>SUMIF(Matches!F5:F28,C4,Matches!I5:I28)+SUMIF(Matches!K5:K28,C4,Matches!H5:H28)</f>
        <v>0</v>
      </c>
      <c r="J4" s="22">
        <f>H4-I4</f>
        <v>0</v>
      </c>
      <c r="K4" s="22">
        <f>F4*1+E4*3</f>
        <v>0</v>
      </c>
      <c r="L4" s="22">
        <f>Setup!E8</f>
        <v>1862</v>
      </c>
      <c r="M4" s="22">
        <f>IF(Setup!F8&lt;&gt;"",-Setup!F8,Setup!E8)</f>
        <v>1862</v>
      </c>
      <c r="N4" s="22">
        <f>RANK(K4,K4:K7)</f>
        <v>1</v>
      </c>
      <c r="O4" s="22">
        <f>SUMPRODUCT((N4:N7=N4)*(J4:J7&gt;J4)*1)</f>
        <v>0</v>
      </c>
      <c r="P4" s="22">
        <f>N4+O4</f>
        <v>1</v>
      </c>
      <c r="Q4" s="22">
        <f>SUMPRODUCT((N4:N7=N4)*(J4:J7=J4)*(H4:H7&gt;H4)*1)</f>
        <v>0</v>
      </c>
      <c r="R4" s="22">
        <f>P4+Q4</f>
        <v>1</v>
      </c>
      <c r="S4" s="22">
        <f>RANK(R4,R4:R7,1)+COUNTIF(R4:R4,R4)-1</f>
        <v>1</v>
      </c>
      <c r="T4" s="22">
        <v>1</v>
      </c>
      <c r="U4" s="22" t="str">
        <f>INDEX(C4:C7,MATCH(T4,S4:S7,0),0)</f>
        <v>Argentina</v>
      </c>
      <c r="V4" s="22">
        <f>INDEX(R4:R7,MATCH(U4,C4:C7,0),0)</f>
        <v>1</v>
      </c>
      <c r="W4" s="22" t="str">
        <f>IF(V5=1,U4,"")</f>
        <v>Argentina</v>
      </c>
      <c r="Z4" s="22">
        <f>SUMPRODUCT((Matches!F5:F28=W4)*(Matches!K5:K28=W5)*(Matches!H5:H28&gt;Matches!I5:I28)*1)+SUMPRODUCT((Matches!K5:K28=W4)*(Matches!F5:F28=W5)*(Matches!I5:I28&gt;Matches!H5:H28)*1)+SUMPRODUCT((Matches!F5:F28=W4)*(Matches!K5:K28=W6)*(Matches!H5:H28&gt;Matches!I5:I28)*1)+SUMPRODUCT((Matches!K5:K28=W4)*(Matches!F5:F28=W6)*(Matches!I5:I28&gt;Matches!H5:H28)*1)+SUMPRODUCT((Matches!F5:F28=W4)*(Matches!K5:K28=W7)*(Matches!H5:H28&gt;Matches!I5:I28)*1)+SUMPRODUCT((Matches!K5:K28=W4)*(Matches!F5:F28=W7)*(Matches!I5:I28&gt;Matches!H5:H28)*1)</f>
        <v>0</v>
      </c>
      <c r="AA4" s="22">
        <f>SUMPRODUCT((Matches!F5:F28=W4)*(Matches!K5:K28=W5)*(Matches!H5:H28=Matches!I5:I28)*1)+SUMPRODUCT((Matches!K5:K28=W4)*(Matches!F5:F28=W5)*(Matches!H5:H28=Matches!I5:I28)*1)+SUMPRODUCT((Matches!F5:F28=W4)*(Matches!K5:K28=W6)*(Matches!H5:H28=Matches!I5:I28)*1)+SUMPRODUCT((Matches!K5:K28=W4)*(Matches!F5:F28=W6)*(Matches!H5:H28=Matches!I5:I28)*1)+SUMPRODUCT((Matches!F5:F28=W4)*(Matches!K5:K28=W7)*(Matches!H5:H28=Matches!I5:I28)*1)+SUMPRODUCT((Matches!K5:K28=W4)*(Matches!F5:F28=W7)*(Matches!H5:H28=Matches!I5:I28)*1)</f>
        <v>3</v>
      </c>
      <c r="AB4" s="22">
        <f>SUMPRODUCT((Matches!F5:F28=W4)*(Matches!K5:K28=W5)*(Matches!H5:H28&lt;Matches!I5:I28)*1)+SUMPRODUCT((Matches!K5:K28=W4)*(Matches!F5:F28=W5)*(Matches!I5:I28&lt;Matches!H5:H28)*1)+SUMPRODUCT((Matches!F5:F28=W4)*(Matches!K5:K28=W6)*(Matches!H5:H28&lt;Matches!I5:I28)*1)+SUMPRODUCT((Matches!K5:K28=W4)*(Matches!F5:F28=W6)*(Matches!I5:I28&lt;Matches!H5:H28)*1)+SUMPRODUCT((Matches!F5:F28=W4)*(Matches!K5:K28=W7)*(Matches!H5:H28&lt;Matches!I5:I28)*1)+SUMPRODUCT((Matches!K5:K28=W4)*(Matches!F5:F28=W7)*(Matches!I5:I28&lt;Matches!H5:H28)*1)</f>
        <v>0</v>
      </c>
      <c r="AC4" s="22">
        <f>SUMIFS(Matches!H5:H28,Matches!F5:F28,W4,Matches!K5:K28,W5)+SUMIFS(Matches!H5:H28,Matches!F5:F28,W4,Matches!K5:K28,W6)+SUMIFS(Matches!H5:H28,Matches!F5:F28,W4,Matches!K5:K28,W7)+SUMIFS(Matches!I5:I28,Matches!K5:K28,W4,Matches!F5:F28,W5)+SUMIFS(Matches!I5:I28,Matches!K5:K28,W4,Matches!F5:F28,W6)+SUMIFS(Matches!I5:I28,Matches!K5:K28,W4,Matches!F5:F28,W7)</f>
        <v>0</v>
      </c>
      <c r="AD4" s="22">
        <f>SUMIFS(Matches!I5:I28,Matches!F5:F28,W4,Matches!K5:K28,W5)+SUMIFS(Matches!I5:I28,Matches!F5:F28,W4,Matches!K5:K28,W6)+SUMIFS(Matches!I5:I28,Matches!F5:F28,W4,Matches!K5:K28,W7)+SUMIFS(Matches!H5:H28,Matches!K5:K28,W4,Matches!F5:F28,W5)+SUMIFS(Matches!H5:H28,Matches!K5:K28,W4,Matches!F5:F28,W6)+SUMIFS(Matches!H5:H28,Matches!K5:K28,W4,Matches!F5:F28,W7)</f>
        <v>0</v>
      </c>
      <c r="AE4" s="22">
        <f>AC4-AD4</f>
        <v>0</v>
      </c>
      <c r="AF4" s="22">
        <f>AA4*1+Z4*3</f>
        <v>3</v>
      </c>
      <c r="AG4" s="22">
        <f>IF(W4&lt;&gt;"",SUMPRODUCT((V4:V7=V4)*(AF4:AF7&gt;AF4)*1),0)</f>
        <v>0</v>
      </c>
      <c r="AH4" s="22">
        <f>IF(W4&lt;&gt;"",SUMPRODUCT((AG4:AG7=AG4)*(AE4:AE7&gt;AE4)*1),0)</f>
        <v>0</v>
      </c>
      <c r="AI4" s="22">
        <f t="shared" ref="AI4:AI19" si="0">AG4+AH4</f>
        <v>0</v>
      </c>
      <c r="AJ4" s="22">
        <f>IF(W4&lt;&gt;"",SUMPRODUCT((AI4:AI7=AI4)*(AG4:AG7=AG4)*(AC4:AC7&gt;AC4)*1),0)</f>
        <v>0</v>
      </c>
      <c r="AK4" s="22">
        <f>V4+AI4+AJ4</f>
        <v>1</v>
      </c>
      <c r="AL4" s="22">
        <v>0</v>
      </c>
      <c r="AM4" s="22">
        <v>0</v>
      </c>
      <c r="AN4" s="22">
        <v>0</v>
      </c>
      <c r="AO4" s="22">
        <v>0</v>
      </c>
      <c r="AP4" s="22">
        <v>0</v>
      </c>
      <c r="AQ4" s="22">
        <v>0</v>
      </c>
      <c r="AR4" s="22">
        <v>0</v>
      </c>
      <c r="AS4" s="22">
        <v>0</v>
      </c>
      <c r="AT4" s="22">
        <v>0</v>
      </c>
      <c r="AU4" s="22">
        <v>0</v>
      </c>
      <c r="AV4" s="22">
        <v>0</v>
      </c>
      <c r="AW4" s="22">
        <f>AK4+AU4+AV4</f>
        <v>1</v>
      </c>
      <c r="AX4" s="22">
        <v>0</v>
      </c>
      <c r="AY4" s="22">
        <v>0</v>
      </c>
      <c r="AZ4" s="22">
        <v>0</v>
      </c>
      <c r="BA4" s="22">
        <v>0</v>
      </c>
      <c r="BB4" s="22">
        <v>0</v>
      </c>
      <c r="BC4" s="22">
        <v>0</v>
      </c>
      <c r="BD4" s="22">
        <v>0</v>
      </c>
      <c r="BE4" s="22">
        <v>0</v>
      </c>
      <c r="BF4" s="22">
        <v>0</v>
      </c>
      <c r="BG4" s="22">
        <v>0</v>
      </c>
      <c r="BH4" s="22">
        <v>0</v>
      </c>
      <c r="BI4" s="22">
        <f>AW4+BG4+BH4</f>
        <v>1</v>
      </c>
      <c r="BJ4" s="22">
        <f>SUMPRODUCT((BI4:BI7=BI4)*(A4:A7&gt;A4)*1)</f>
        <v>0</v>
      </c>
      <c r="BK4" s="22">
        <f>BJ4+BI4</f>
        <v>1</v>
      </c>
    </row>
    <row r="5" spans="1:78" x14ac:dyDescent="0.25">
      <c r="A5" s="22">
        <f>INDEX(M4:M35,MATCH(U5,C4:C35,0),0)</f>
        <v>1533</v>
      </c>
      <c r="B5" s="22">
        <v>2</v>
      </c>
      <c r="C5" s="22" t="str">
        <f t="shared" ref="C5:C19" si="1">BZ8</f>
        <v>Peru</v>
      </c>
      <c r="D5" s="22">
        <f t="shared" ref="D5:D19" si="2">SUM(E5:G5)</f>
        <v>0</v>
      </c>
      <c r="E5" s="22">
        <f>SUMPRODUCT((Matches!H5:H28&lt;&gt;"")*(Matches!F5:F28=C5)*(Matches!H5:H28&gt;Matches!I5:I28)*1)+SUMPRODUCT((Matches!H5:H28&lt;&gt;"")*(Matches!K5:K28=C5)*(Matches!I5:I28&gt;Matches!H5:H28)*1)</f>
        <v>0</v>
      </c>
      <c r="F5" s="22">
        <f>SUMPRODUCT((Matches!H5:H28&lt;&gt;"")*(Matches!F5:F28=C5)*(Matches!H5:H28=Matches!I5:I28)*1)+SUMPRODUCT((Matches!H5:H28&lt;&gt;"")*(Matches!K5:K28=C5)*(Matches!H5:H28=Matches!I5:I28)*1)</f>
        <v>0</v>
      </c>
      <c r="G5" s="22">
        <f>SUMPRODUCT((Matches!H5:H28&lt;&gt;"")*(Matches!F5:F28=C5)*(Matches!H5:H28&lt;Matches!I5:I28)*1)+SUMPRODUCT((Matches!H5:H28&lt;&gt;"")*(Matches!K5:K28=C5)*(Matches!I5:I28&lt;Matches!H5:H28)*1)</f>
        <v>0</v>
      </c>
      <c r="H5" s="22">
        <f>SUMIF(Matches!F5:F28,C5,Matches!H5:H28)+SUMIF(Matches!K5:K28,C5,Matches!I5:I28)</f>
        <v>0</v>
      </c>
      <c r="I5" s="22">
        <f>SUMIF(Matches!F5:F28,C5,Matches!I5:I28)+SUMIF(Matches!K5:K28,C5,Matches!H5:H28)</f>
        <v>0</v>
      </c>
      <c r="J5" s="22">
        <f t="shared" ref="J5:J19" si="3">H5-I5</f>
        <v>0</v>
      </c>
      <c r="K5" s="22">
        <f t="shared" ref="K5:K19" si="4">F5*1+E5*3</f>
        <v>0</v>
      </c>
      <c r="L5" s="22">
        <f>Setup!E9</f>
        <v>1533</v>
      </c>
      <c r="M5" s="22">
        <f>IF(Setup!F9&lt;&gt;"",-Setup!F9,Setup!E9)</f>
        <v>1533</v>
      </c>
      <c r="N5" s="22">
        <f>RANK(K5,K4:K7)</f>
        <v>1</v>
      </c>
      <c r="O5" s="22">
        <f>SUMPRODUCT((N4:N7=N5)*(J4:J7&gt;J5)*1)</f>
        <v>0</v>
      </c>
      <c r="P5" s="22">
        <f t="shared" ref="P5:P19" si="5">N5+O5</f>
        <v>1</v>
      </c>
      <c r="Q5" s="22">
        <f>SUMPRODUCT((N4:N7=N5)*(J4:J7=J5)*(H4:H7&gt;H5)*1)</f>
        <v>0</v>
      </c>
      <c r="R5" s="22">
        <f t="shared" ref="R5:R19" si="6">P5+Q5</f>
        <v>1</v>
      </c>
      <c r="S5" s="22">
        <f>RANK(R5,R4:R7,1)+COUNTIF(R4:R5,R5)-1</f>
        <v>2</v>
      </c>
      <c r="T5" s="22">
        <v>2</v>
      </c>
      <c r="U5" s="22" t="str">
        <f>INDEX(C4:C7,MATCH(T5,S4:S7,0),0)</f>
        <v>Peru</v>
      </c>
      <c r="V5" s="22">
        <f>INDEX(R4:R7,MATCH(U5,C4:C7,0),0)</f>
        <v>1</v>
      </c>
      <c r="W5" s="22" t="str">
        <f>IF(W4&lt;&gt;"",U5,"")</f>
        <v>Peru</v>
      </c>
      <c r="X5" s="22" t="str">
        <f>IF(V6=2,U5,"")</f>
        <v/>
      </c>
      <c r="Z5" s="22">
        <f>SUMPRODUCT((Matches!F5:F28=W5)*(Matches!K5:K28=W4)*(Matches!H5:H28&gt;Matches!I5:I28)*1)+SUMPRODUCT((Matches!K5:K28=W5)*(Matches!F5:F28=W4)*(Matches!I5:I28&gt;Matches!H5:H28)*1)+SUMPRODUCT((Matches!F5:F28=W5)*(Matches!K5:K28=W6)*(Matches!H5:H28&gt;Matches!I5:I28)*1)+SUMPRODUCT((Matches!K5:K28=W5)*(Matches!F5:F28=W6)*(Matches!I5:I28&gt;Matches!H5:H28)*1)+SUMPRODUCT((Matches!F5:F28=W5)*(Matches!K5:K28=W7)*(Matches!H5:H28&gt;Matches!I5:I28)*1)+SUMPRODUCT((Matches!K5:K28=W5)*(Matches!F5:F28=W7)*(Matches!I5:I28&gt;Matches!H5:H28)*1)</f>
        <v>0</v>
      </c>
      <c r="AA5" s="22">
        <f>SUMPRODUCT((Matches!F5:F28=W5)*(Matches!K5:K28=W4)*(Matches!H5:H28=Matches!I5:I28)*1)+SUMPRODUCT((Matches!K5:K28=W5)*(Matches!F5:F28=W4)*(Matches!H5:H28=Matches!I5:I28)*1)+SUMPRODUCT((Matches!F5:F28=W5)*(Matches!K5:K28=W6)*(Matches!H5:H28=Matches!I5:I28)*1)+SUMPRODUCT((Matches!K5:K28=W5)*(Matches!F5:F28=W6)*(Matches!H5:H28=Matches!I5:I28)*1)+SUMPRODUCT((Matches!F5:F28=W5)*(Matches!K5:K28=W7)*(Matches!H5:H28=Matches!I5:I28)*1)+SUMPRODUCT((Matches!K5:K28=W5)*(Matches!F5:F28=W7)*(Matches!H5:H28=Matches!I5:I28)*1)</f>
        <v>3</v>
      </c>
      <c r="AB5" s="22">
        <f>SUMPRODUCT((Matches!F5:F28=W5)*(Matches!K5:K28=W4)*(Matches!H5:H28&lt;Matches!I5:I28)*1)+SUMPRODUCT((Matches!K5:K28=W5)*(Matches!F5:F28=W4)*(Matches!I5:I28&lt;Matches!H5:H28)*1)+SUMPRODUCT((Matches!F5:F28=W5)*(Matches!K5:K28=W6)*(Matches!H5:H28&lt;Matches!I5:I28)*1)+SUMPRODUCT((Matches!K5:K28=W5)*(Matches!F5:F28=W6)*(Matches!I5:I28&lt;Matches!H5:H28)*1)+SUMPRODUCT((Matches!F5:F28=W5)*(Matches!K5:K28=W7)*(Matches!H5:H28&lt;Matches!I5:I28)*1)+SUMPRODUCT((Matches!K5:K28=W5)*(Matches!F5:F28=W7)*(Matches!I5:I28&lt;Matches!H5:H28)*1)</f>
        <v>0</v>
      </c>
      <c r="AC5" s="22">
        <f>SUMIFS(Matches!H5:H28,Matches!F5:F28,W5,Matches!K5:K28,W4)+SUMIFS(Matches!H5:H28,Matches!F5:F28,W5,Matches!K5:K28,W6)+SUMIFS(Matches!H5:H28,Matches!F5:F28,W5,Matches!K5:K28,W7)+SUMIFS(Matches!I5:I28,Matches!K5:K28,W5,Matches!F5:F28,W4)+SUMIFS(Matches!I5:I28,Matches!K5:K28,W5,Matches!F5:F28,W6)+SUMIFS(Matches!I5:I28,Matches!K5:K28,W5,Matches!F5:F28,W7)</f>
        <v>0</v>
      </c>
      <c r="AD5" s="22">
        <f>SUMIFS(Matches!I5:I28,Matches!F5:F28,W5,Matches!K5:K28,W4)+SUMIFS(Matches!I5:I28,Matches!F5:F28,W5,Matches!K5:K28,W6)+SUMIFS(Matches!I5:I28,Matches!F5:F28,W5,Matches!K5:K28,W7)+SUMIFS(Matches!H5:H28,Matches!K5:K28,W5,Matches!F5:F28,W4)+SUMIFS(Matches!H5:H28,Matches!K5:K28,W5,Matches!F5:F28,W6)+SUMIFS(Matches!H5:H28,Matches!K5:K28,W5,Matches!F5:F28,W7)</f>
        <v>0</v>
      </c>
      <c r="AE5" s="22">
        <f t="shared" ref="AE5:AE19" si="7">AC5-AD5</f>
        <v>0</v>
      </c>
      <c r="AF5" s="22">
        <f t="shared" ref="AF5:AF19" si="8">AA5*1+Z5*3</f>
        <v>3</v>
      </c>
      <c r="AG5" s="22">
        <f>IF(W5&lt;&gt;"",SUMPRODUCT((V4:V7=V5)*(AF4:AF7&gt;AF5)*1),0)</f>
        <v>0</v>
      </c>
      <c r="AH5" s="22">
        <f>IF(W5&lt;&gt;"",SUMPRODUCT((AG4:AG7=AG5)*(AE4:AE7&gt;AE5)*1),0)</f>
        <v>0</v>
      </c>
      <c r="AI5" s="22">
        <f t="shared" si="0"/>
        <v>0</v>
      </c>
      <c r="AJ5" s="22">
        <f>IF(W5&lt;&gt;"",SUMPRODUCT((AI4:AI7=AI5)*(AG4:AG7=AG5)*(AC4:AC7&gt;AC5)*1),0)</f>
        <v>0</v>
      </c>
      <c r="AK5" s="22">
        <f t="shared" ref="AK5:AK19" si="9">V5+AI5+AJ5</f>
        <v>1</v>
      </c>
      <c r="AL5" s="22">
        <f>SUMPRODUCT((Matches!F5:F28=X5)*(Matches!K5:K28=X6)*(Matches!H5:H28&gt;Matches!I5:I28)*1)+SUMPRODUCT((Matches!K5:K28=X5)*(Matches!F5:F28=X6)*(Matches!I5:I28&gt;Matches!H5:H28)*1)+SUMPRODUCT((Matches!F5:F28=X5)*(Matches!K5:K28=X7)*(Matches!H5:H28&gt;Matches!I5:I28)*1)+SUMPRODUCT((Matches!K5:K28=X5)*(Matches!F5:F28=X7)*(Matches!I5:I28&gt;Matches!H5:H28)*1)</f>
        <v>0</v>
      </c>
      <c r="AM5" s="22">
        <f>SUMPRODUCT((Matches!F5:F28=X5)*(Matches!K5:K28=X6)*(Matches!H5:H28=Matches!I5:I28)*1)+SUMPRODUCT((Matches!K5:K28=X5)*(Matches!F5:F28=X6)*(Matches!H5:H28=Matches!I5:I28)*1)+SUMPRODUCT((Matches!F5:F28=X5)*(Matches!K5:K28=X7)*(Matches!H5:H28=Matches!I5:I28)*1)+SUMPRODUCT((Matches!K5:K28=X5)*(Matches!F5:F28=X7)*(Matches!H5:H28=Matches!I5:I28)*1)</f>
        <v>0</v>
      </c>
      <c r="AN5" s="22">
        <f>SUMPRODUCT((Matches!F5:F28=X5)*(Matches!K5:K28=X6)*(Matches!H5:H28&lt;Matches!I5:I28)*1)+SUMPRODUCT((Matches!K5:K28=X5)*(Matches!F5:F28=X6)*(Matches!I5:I28&lt;Matches!H5:H28)*1)+SUMPRODUCT((Matches!F5:F28=X5)*(Matches!K5:K28=X7)*(Matches!H5:H28&lt;Matches!I5:I28)*1)+SUMPRODUCT((Matches!K5:K28=X5)*(Matches!F5:F28=X7)*(Matches!I5:I28&lt;Matches!H5:H28)*1)</f>
        <v>0</v>
      </c>
      <c r="AO5" s="22">
        <f>SUMIFS(Matches!H5:H28,Matches!F5:F28,X5,Matches!K5:K28,X6)+SUMIFS(Matches!H5:H28,Matches!F5:F28,X5,Matches!K5:K28,X7)+SUMIFS(Matches!I5:I28,Matches!K5:K28,X5,Matches!F5:F28,X6)+SUMIFS(Matches!I5:I28,Matches!K5:K28,X5,Matches!F5:F28,X7)</f>
        <v>0</v>
      </c>
      <c r="AP5" s="22">
        <f>SUMIFS(Matches!I5:I28,Matches!F5:F28,X5,Matches!K5:K28,X6)+SUMIFS(Matches!I5:I28,Matches!F5:F28,X5,Matches!K5:K28,X7)+SUMIFS(Matches!H5:H28,Matches!K5:K28,X5,Matches!F5:F28,X6)+SUMIFS(Matches!H5:H28,Matches!K5:K28,X5,Matches!F5:F28,X7)</f>
        <v>0</v>
      </c>
      <c r="AQ5" s="22">
        <f t="shared" ref="AQ5:AQ19" si="10">AO5-AP5</f>
        <v>0</v>
      </c>
      <c r="AR5" s="22">
        <f t="shared" ref="AR5:AR19" si="11">AM5*1+AL5*3</f>
        <v>0</v>
      </c>
      <c r="AS5" s="22">
        <f>IF(X5&lt;&gt;"",SUMPRODUCT((V4:V7=V5)*(AR4:AR7&gt;AR5)*1),0)</f>
        <v>0</v>
      </c>
      <c r="AT5" s="22">
        <f>IF(X5&lt;&gt;"",SUMPRODUCT((AS4:AS7=AS5)*(AQ4:AQ7&gt;AQ5)*1),0)</f>
        <v>0</v>
      </c>
      <c r="AU5" s="22">
        <f t="shared" ref="AU5:AU19" si="12">AS5+AT5</f>
        <v>0</v>
      </c>
      <c r="AV5" s="22">
        <f>IF(X5&lt;&gt;"",SUMPRODUCT((AU4:AU7=AU5)*(AS4:AS7=AS5)*(AO4:AO7&gt;AO5)*1),0)</f>
        <v>0</v>
      </c>
      <c r="AW5" s="22">
        <f t="shared" ref="AW5:AW19" si="13">AK5+AU5+AV5</f>
        <v>1</v>
      </c>
      <c r="AX5" s="22">
        <v>0</v>
      </c>
      <c r="AY5" s="22">
        <v>0</v>
      </c>
      <c r="AZ5" s="22">
        <v>0</v>
      </c>
      <c r="BA5" s="22">
        <v>0</v>
      </c>
      <c r="BB5" s="22">
        <v>0</v>
      </c>
      <c r="BC5" s="22">
        <v>0</v>
      </c>
      <c r="BD5" s="22">
        <v>0</v>
      </c>
      <c r="BE5" s="22">
        <v>0</v>
      </c>
      <c r="BF5" s="22">
        <v>0</v>
      </c>
      <c r="BG5" s="22">
        <v>0</v>
      </c>
      <c r="BH5" s="22">
        <v>0</v>
      </c>
      <c r="BI5" s="22">
        <f>AW5+BG5+BH5</f>
        <v>1</v>
      </c>
      <c r="BJ5" s="22">
        <f>SUMPRODUCT((BI4:BI7=BI5)*(A4:A7&gt;A5)*1)</f>
        <v>1</v>
      </c>
      <c r="BK5" s="22">
        <f t="shared" ref="BK5:BK19" si="14">BJ5+BI5</f>
        <v>2</v>
      </c>
    </row>
    <row r="6" spans="1:78" x14ac:dyDescent="0.25">
      <c r="A6" s="22">
        <f>INDEX(M4:M35,MATCH(U6,C4:C35,0),0)</f>
        <v>1504</v>
      </c>
      <c r="B6" s="22">
        <v>3</v>
      </c>
      <c r="C6" s="22" t="str">
        <f t="shared" si="1"/>
        <v>Chile</v>
      </c>
      <c r="D6" s="22">
        <f t="shared" si="2"/>
        <v>0</v>
      </c>
      <c r="E6" s="22">
        <f>SUMPRODUCT((Matches!H5:H28&lt;&gt;"")*(Matches!F5:F28=C6)*(Matches!H5:H28&gt;Matches!I5:I28)*1)+SUMPRODUCT((Matches!H5:H28&lt;&gt;"")*(Matches!K5:K28=C6)*(Matches!I5:I28&gt;Matches!H5:H28)*1)</f>
        <v>0</v>
      </c>
      <c r="F6" s="22">
        <f>SUMPRODUCT((Matches!H5:H28&lt;&gt;"")*(Matches!F5:F28=C6)*(Matches!H5:H28=Matches!I5:I28)*1)+SUMPRODUCT((Matches!H5:H28&lt;&gt;"")*(Matches!K5:K28=C6)*(Matches!H5:H28=Matches!I5:I28)*1)</f>
        <v>0</v>
      </c>
      <c r="G6" s="22">
        <f>SUMPRODUCT((Matches!H5:H28&lt;&gt;"")*(Matches!F5:F28=C6)*(Matches!H5:H28&lt;Matches!I5:I28)*1)+SUMPRODUCT((Matches!H5:H28&lt;&gt;"")*(Matches!K5:K28=C6)*(Matches!I5:I28&lt;Matches!H5:H28)*1)</f>
        <v>0</v>
      </c>
      <c r="H6" s="22">
        <f>SUMIF(Matches!F5:F28,C6,Matches!H5:H28)+SUMIF(Matches!K5:K28,C6,Matches!I5:I28)</f>
        <v>0</v>
      </c>
      <c r="I6" s="22">
        <f>SUMIF(Matches!F5:F28,C6,Matches!I5:I28)+SUMIF(Matches!K5:K28,C6,Matches!H5:H28)</f>
        <v>0</v>
      </c>
      <c r="J6" s="22">
        <f t="shared" si="3"/>
        <v>0</v>
      </c>
      <c r="K6" s="22">
        <f t="shared" si="4"/>
        <v>0</v>
      </c>
      <c r="L6" s="22">
        <f>Setup!E10</f>
        <v>1504</v>
      </c>
      <c r="M6" s="22">
        <f>IF(Setup!F10&lt;&gt;"",-Setup!F10,Setup!E10)</f>
        <v>1504</v>
      </c>
      <c r="N6" s="22">
        <f>RANK(K6,K4:K7)</f>
        <v>1</v>
      </c>
      <c r="O6" s="22">
        <f>SUMPRODUCT((N4:N7=N6)*(J4:J7&gt;J6)*1)</f>
        <v>0</v>
      </c>
      <c r="P6" s="22">
        <f t="shared" si="5"/>
        <v>1</v>
      </c>
      <c r="Q6" s="22">
        <f>SUMPRODUCT((N4:N7=N6)*(J4:J7=J6)*(H4:H7&gt;H6)*1)</f>
        <v>0</v>
      </c>
      <c r="R6" s="22">
        <f t="shared" si="6"/>
        <v>1</v>
      </c>
      <c r="S6" s="22">
        <f>IF(Matches!B45="© 2022 | journalSHEET.com",RANK(R6,R4:R7,1)+COUNTIF(R4:R6,R6)-1,2)</f>
        <v>3</v>
      </c>
      <c r="T6" s="22">
        <v>3</v>
      </c>
      <c r="U6" s="22" t="str">
        <f>INDEX(C4:C7,MATCH(T6,S4:S7,0),0)</f>
        <v>Chile</v>
      </c>
      <c r="V6" s="22">
        <f>INDEX(R4:R7,MATCH(U6,C4:C7,0),0)</f>
        <v>1</v>
      </c>
      <c r="W6" s="22" t="str">
        <f>IF(AND(W5&lt;&gt;"",V6=1),U6,"")</f>
        <v>Chile</v>
      </c>
      <c r="X6" s="22" t="str">
        <f>IF(X5&lt;&gt;"",U6,"")</f>
        <v/>
      </c>
      <c r="Y6" s="22" t="str">
        <f>IF(V7=3,U6,"")</f>
        <v/>
      </c>
      <c r="Z6" s="22">
        <f>SUMPRODUCT((Matches!F5:F28=W6)*(Matches!K5:K28=W4)*(Matches!H5:H28&gt;Matches!I5:I28)*1)+SUMPRODUCT((Matches!K5:K28=W6)*(Matches!F5:F28=W4)*(Matches!I5:I28&gt;Matches!H5:H28)*1)+SUMPRODUCT((Matches!F5:F28=W6)*(Matches!K5:K28=W5)*(Matches!H5:H28&gt;Matches!I5:I28)*1)+SUMPRODUCT((Matches!K5:K28=W6)*(Matches!F5:F28=W5)*(Matches!I5:I28&gt;Matches!H5:H28)*1)+SUMPRODUCT((Matches!F5:F28=W6)*(Matches!K5:K28=W7)*(Matches!H5:H28&gt;Matches!I5:I28)*1)+SUMPRODUCT((Matches!K5:K28=W6)*(Matches!F5:F28=W7)*(Matches!I5:I28&gt;Matches!H5:H28)*1)</f>
        <v>0</v>
      </c>
      <c r="AA6" s="22">
        <f>SUMPRODUCT((Matches!F5:F28=W6)*(Matches!K5:K28=W4)*(Matches!H5:H28=Matches!I5:I28)*1)+SUMPRODUCT((Matches!K5:K28=W6)*(Matches!F5:F28=W4)*(Matches!H5:H28=Matches!I5:I28)*1)+SUMPRODUCT((Matches!F5:F28=W6)*(Matches!K5:K28=W5)*(Matches!H5:H28=Matches!I5:I28)*1)+SUMPRODUCT((Matches!K5:K28=W6)*(Matches!F5:F28=W5)*(Matches!H5:H28=Matches!I5:I28)*1)+SUMPRODUCT((Matches!F5:F28=W6)*(Matches!K5:K28=W7)*(Matches!H5:H28=Matches!I5:I28)*1)+SUMPRODUCT((Matches!K5:K28=W6)*(Matches!F5:F28=W7)*(Matches!H5:H28=Matches!I5:I28)*1)</f>
        <v>3</v>
      </c>
      <c r="AB6" s="22">
        <f>SUMPRODUCT((Matches!F5:F28=W6)*(Matches!K5:K28=W4)*(Matches!H5:H28&lt;Matches!I5:I28)*1)+SUMPRODUCT((Matches!K5:K28=W6)*(Matches!F5:F28=W4)*(Matches!I5:I28&lt;Matches!H5:H28)*1)+SUMPRODUCT((Matches!F5:F28=W6)*(Matches!K5:K28=W5)*(Matches!H5:H28&lt;Matches!I5:I28)*1)+SUMPRODUCT((Matches!K5:K28=W6)*(Matches!F5:F28=W5)*(Matches!I5:I28&lt;Matches!H5:H28)*1)+SUMPRODUCT((Matches!F5:F28=W6)*(Matches!K5:K28=W7)*(Matches!H5:H28&lt;Matches!I5:I28)*1)+SUMPRODUCT((Matches!K5:K28=W6)*(Matches!F5:F28=W7)*(Matches!I5:I28&lt;Matches!H5:H28)*1)</f>
        <v>0</v>
      </c>
      <c r="AC6" s="22">
        <f>SUMIFS(Matches!H5:H28,Matches!F5:F28,W6,Matches!K5:K28,W4)+SUMIFS(Matches!H5:H28,Matches!F5:F28,W6,Matches!K5:K28,W5)+SUMIFS(Matches!H5:H28,Matches!F5:F28,W6,Matches!K5:K28,W7)+SUMIFS(Matches!I5:I28,Matches!K5:K28,W6,Matches!F5:F28,W4)+SUMIFS(Matches!I5:I28,Matches!K5:K28,W6,Matches!F5:F28,W5)+SUMIFS(Matches!I5:I28,Matches!K5:K28,W6,Matches!F5:F28,W7)</f>
        <v>0</v>
      </c>
      <c r="AD6" s="22">
        <f>SUMIFS(Matches!I5:I28,Matches!F5:F28,W6,Matches!K5:K28,W4)+SUMIFS(Matches!I5:I28,Matches!F5:F28,W6,Matches!K5:K28,W5)+SUMIFS(Matches!I5:I28,Matches!F5:F28,W6,Matches!K5:K28,W7)+SUMIFS(Matches!H5:H28,Matches!K5:K28,W6,Matches!F5:F28,W4)+SUMIFS(Matches!H5:H28,Matches!K5:K28,W6,Matches!F5:F28,W5)+SUMIFS(Matches!H5:H28,Matches!K5:K28,W6,Matches!F5:F28,W7)</f>
        <v>0</v>
      </c>
      <c r="AE6" s="22">
        <f t="shared" si="7"/>
        <v>0</v>
      </c>
      <c r="AF6" s="22">
        <f t="shared" si="8"/>
        <v>3</v>
      </c>
      <c r="AG6" s="22">
        <f>IF(W6&lt;&gt;"",SUMPRODUCT((V4:V7=V6)*(AF4:AF7&gt;AF6)*1),0)</f>
        <v>0</v>
      </c>
      <c r="AH6" s="22">
        <f>IF(W6&lt;&gt;"",SUMPRODUCT((AG4:AG7=AG6)*(AE4:AE7&gt;AE6)*1),0)</f>
        <v>0</v>
      </c>
      <c r="AI6" s="22">
        <f t="shared" si="0"/>
        <v>0</v>
      </c>
      <c r="AJ6" s="22">
        <f>IF(W6&lt;&gt;"",SUMPRODUCT((AI4:AI7=AI6)*(AG4:AG7=AG6)*(AC4:AC7&gt;AC6)*1),0)</f>
        <v>0</v>
      </c>
      <c r="AK6" s="22">
        <f t="shared" si="9"/>
        <v>1</v>
      </c>
      <c r="AL6" s="22">
        <f>SUMPRODUCT((Matches!F5:F28=X6)*(Matches!K5:K28=X5)*(Matches!H5:H28&gt;Matches!I5:I28)*1)+SUMPRODUCT((Matches!K5:K28=X6)*(Matches!F5:F28=X5)*(Matches!I5:I28&gt;Matches!H5:H28)*1)+SUMPRODUCT((Matches!F5:F28=X6)*(Matches!K5:K28=X7)*(Matches!H5:H28&gt;Matches!I5:I28)*1)+SUMPRODUCT((Matches!K5:K28=X6)*(Matches!F5:F28=X7)*(Matches!I5:I28&gt;Matches!H5:H28)*1)</f>
        <v>0</v>
      </c>
      <c r="AM6" s="22">
        <f>SUMPRODUCT((Matches!F5:F28=X6)*(Matches!K5:K28=X5)*(Matches!H5:H28=Matches!I5:I28)*1)+SUMPRODUCT((Matches!K5:K28=X6)*(Matches!F5:F28=X5)*(Matches!H5:H28=Matches!I5:I28)*1)+SUMPRODUCT((Matches!F5:F28=X6)*(Matches!K5:K28=X7)*(Matches!H5:H28=Matches!I5:I28)*1)+SUMPRODUCT((Matches!K5:K28=X6)*(Matches!F5:F28=X7)*(Matches!H5:H28=Matches!I5:I28)*1)</f>
        <v>0</v>
      </c>
      <c r="AN6" s="22">
        <f>SUMPRODUCT((Matches!F5:F28=X6)*(Matches!K5:K28=X5)*(Matches!H5:H28&lt;Matches!I5:I28)*1)+SUMPRODUCT((Matches!K5:K28=X6)*(Matches!F5:F28=X5)*(Matches!I5:I28&lt;Matches!H5:H28)*1)+SUMPRODUCT((Matches!F5:F28=X6)*(Matches!K5:K28=X7)*(Matches!H5:H28&lt;Matches!I5:I28)*1)+SUMPRODUCT((Matches!K5:K28=X6)*(Matches!F5:F28=X7)*(Matches!I5:I28&lt;Matches!H5:H28)*1)</f>
        <v>0</v>
      </c>
      <c r="AO6" s="22">
        <f>SUMIFS(Matches!H5:H28,Matches!F5:F28,X6,Matches!K5:K28,X5)+SUMIFS(Matches!H5:H28,Matches!F5:F28,X6,Matches!K5:K28,X7)+SUMIFS(Matches!I5:I28,Matches!K5:K28,X6,Matches!F5:F28,X5)+SUMIFS(Matches!I5:I28,Matches!K5:K28,X6,Matches!F5:F28,X7)</f>
        <v>0</v>
      </c>
      <c r="AP6" s="22">
        <f>SUMIFS(Matches!I5:I28,Matches!F5:F28,X6,Matches!K5:K28,X5)+SUMIFS(Matches!I5:I28,Matches!F5:F28,X6,Matches!K5:K28,X7)+SUMIFS(Matches!H5:H28,Matches!K5:K28,X6,Matches!F5:F28,X5)+SUMIFS(Matches!H5:H28,Matches!K5:K28,X6,Matches!F5:F28,X7)</f>
        <v>0</v>
      </c>
      <c r="AQ6" s="22">
        <f t="shared" si="10"/>
        <v>0</v>
      </c>
      <c r="AR6" s="22">
        <f t="shared" si="11"/>
        <v>0</v>
      </c>
      <c r="AS6" s="22">
        <f>IF(X6&lt;&gt;"",SUMPRODUCT((V4:V7=V6)*(AR4:AR7&gt;AR6)*1),0)</f>
        <v>0</v>
      </c>
      <c r="AT6" s="22">
        <f>IF(X6&lt;&gt;"",SUMPRODUCT((AS4:AS7=AS6)*(AQ4:AQ7&gt;AQ6)*1),0)</f>
        <v>0</v>
      </c>
      <c r="AU6" s="22">
        <f t="shared" si="12"/>
        <v>0</v>
      </c>
      <c r="AV6" s="22">
        <f>IF(X6&lt;&gt;"",SUMPRODUCT((AU4:AU7=AU6)*(AS4:AS7=AS6)*(AO4:AO7&gt;AO6)*1),0)</f>
        <v>0</v>
      </c>
      <c r="AW6" s="22">
        <f t="shared" si="13"/>
        <v>1</v>
      </c>
      <c r="AX6" s="22">
        <f>SUMPRODUCT((Matches!F5:F28=Y6)*(Matches!K5:K28=Y7)*(Matches!H5:H28&gt;Matches!I5:I28)*1)+SUMPRODUCT((Matches!K5:K28=Y6)*(Matches!F5:F28=Y7)*(Matches!I5:I28&gt;Matches!H5:H28)*1)</f>
        <v>0</v>
      </c>
      <c r="AY6" s="22">
        <f>SUMPRODUCT((Matches!F5:F28=Y6)*(Matches!K5:K28=Y7)*(Matches!H5:H28=Matches!I5:I28)*1)+SUMPRODUCT((Matches!K5:K28=Y6)*(Matches!F5:F28=Y7)*(Matches!I5:I28=Matches!H5:H28)*1)</f>
        <v>0</v>
      </c>
      <c r="AZ6" s="22">
        <f>SUMPRODUCT((Matches!F5:F28=Y6)*(Matches!K5:K28=Y7)*(Matches!H5:H28&lt;Matches!I5:I28)*1)+SUMPRODUCT((Matches!K5:K28=Y6)*(Matches!F5:F28=Y7)*(Matches!I5:I28&lt;Matches!H5:H28)*1)</f>
        <v>0</v>
      </c>
      <c r="BA6" s="22">
        <f>SUMIFS(Matches!H5:H28,Matches!F5:F28,Y6,Matches!K5:K28,Y7)+SUMIFS(Matches!I5:I28,Matches!K5:K28,Y6,Matches!F5:F28,Y7)</f>
        <v>0</v>
      </c>
      <c r="BB6" s="22">
        <f>SUMIFS(Matches!I5:I28,Matches!F5:F28,Y6,Matches!K5:K28,Y7)+SUMIFS(Matches!H5:H28,Matches!K5:K28,Y6,Matches!F5:F28,Y7)</f>
        <v>0</v>
      </c>
      <c r="BC6" s="22">
        <f t="shared" ref="BC6:BC7" si="15">BA6-BB6</f>
        <v>0</v>
      </c>
      <c r="BD6" s="22">
        <f t="shared" ref="BD6:BD7" si="16">AY6*1+AX6*3</f>
        <v>0</v>
      </c>
      <c r="BE6" s="22">
        <f>IF(Y6&lt;&gt;"",SUMPRODUCT((AH4:AH7=AH6)*(BD4:BD7&gt;BD6)*1),0)</f>
        <v>0</v>
      </c>
      <c r="BF6" s="22">
        <f>IF(Y6&lt;&gt;"",SUMPRODUCT((BE4:BE7=BE6)*(BC4:BC7&gt;BC6)*1),0)</f>
        <v>0</v>
      </c>
      <c r="BG6" s="22">
        <f>BE6+BF6</f>
        <v>0</v>
      </c>
      <c r="BH6" s="22">
        <f>IF(Y6&lt;&gt;"",SUMPRODUCT((BG4:BG7=BG6)*(BE4:BE7=BE6)*(BA4:BA7&gt;BA6)*1),0)</f>
        <v>0</v>
      </c>
      <c r="BI6" s="22">
        <f t="shared" ref="BI6:BI19" si="17">AW6+BG6+BH6</f>
        <v>1</v>
      </c>
      <c r="BJ6" s="22">
        <f>SUMPRODUCT((BI4:BI7=BI6)*(A4:A7&gt;A6)*1)</f>
        <v>2</v>
      </c>
      <c r="BK6" s="22">
        <f t="shared" si="14"/>
        <v>3</v>
      </c>
      <c r="BM6" s="190"/>
      <c r="BN6" s="190"/>
      <c r="BO6" s="190"/>
      <c r="BP6" s="190"/>
      <c r="BQ6" s="190"/>
      <c r="BT6" s="22"/>
      <c r="BU6" s="22"/>
      <c r="BV6" s="22"/>
      <c r="BW6" s="191"/>
      <c r="BX6" s="22"/>
    </row>
    <row r="7" spans="1:78" ht="16.5" x14ac:dyDescent="0.25">
      <c r="A7" s="22">
        <f>INDEX(M4:M35,MATCH(U7,C4:C35,0),0)</f>
        <v>1455</v>
      </c>
      <c r="B7" s="22">
        <v>4</v>
      </c>
      <c r="C7" s="22" t="str">
        <f t="shared" si="1"/>
        <v>Canada</v>
      </c>
      <c r="D7" s="22">
        <f t="shared" si="2"/>
        <v>0</v>
      </c>
      <c r="E7" s="22">
        <f>SUMPRODUCT((Matches!H5:H28&lt;&gt;"")*(Matches!F5:F28=C7)*(Matches!H5:H28&gt;Matches!I5:I28)*1)+SUMPRODUCT((Matches!H5:H28&lt;&gt;"")*(Matches!K5:K28=C7)*(Matches!I5:I28&gt;Matches!H5:H28)*1)</f>
        <v>0</v>
      </c>
      <c r="F7" s="22">
        <f>SUMPRODUCT((Matches!H5:H28&lt;&gt;"")*(Matches!F5:F28=C7)*(Matches!H5:H28=Matches!I5:I28)*1)+SUMPRODUCT((Matches!H5:H28&lt;&gt;"")*(Matches!K5:K28=C7)*(Matches!H5:H28=Matches!I5:I28)*1)</f>
        <v>0</v>
      </c>
      <c r="G7" s="22">
        <f>SUMPRODUCT((Matches!H5:H28&lt;&gt;"")*(Matches!F5:F28=C7)*(Matches!H5:H28&lt;Matches!I5:I28)*1)+SUMPRODUCT((Matches!H5:H28&lt;&gt;"")*(Matches!K5:K28=C7)*(Matches!I5:I28&lt;Matches!H5:H28)*1)</f>
        <v>0</v>
      </c>
      <c r="H7" s="22">
        <f>SUMIF(Matches!F5:F28,C7,Matches!H5:H28)+SUMIF(Matches!K5:K28,C7,Matches!I5:I28)</f>
        <v>0</v>
      </c>
      <c r="I7" s="22">
        <f>SUMIF(Matches!F5:F28,C7,Matches!I5:I28)+SUMIF(Matches!K5:K28,C7,Matches!H5:H28)</f>
        <v>0</v>
      </c>
      <c r="J7" s="22">
        <f t="shared" si="3"/>
        <v>0</v>
      </c>
      <c r="K7" s="22">
        <f t="shared" si="4"/>
        <v>0</v>
      </c>
      <c r="L7" s="22">
        <f>Setup!E11</f>
        <v>1455</v>
      </c>
      <c r="M7" s="22">
        <f>IF(Setup!F11&lt;&gt;"",-Setup!F11,Setup!E11)</f>
        <v>1455</v>
      </c>
      <c r="N7" s="22">
        <f>RANK(K7,K4:K7)</f>
        <v>1</v>
      </c>
      <c r="O7" s="22">
        <f>SUMPRODUCT((N4:N7=N7)*(J4:J7&gt;J7)*1)</f>
        <v>0</v>
      </c>
      <c r="P7" s="22">
        <f t="shared" si="5"/>
        <v>1</v>
      </c>
      <c r="Q7" s="22">
        <f>SUMPRODUCT((N4:N7=N7)*(J4:J7=J7)*(H4:H7&gt;H7)*1)</f>
        <v>0</v>
      </c>
      <c r="R7" s="22">
        <f t="shared" si="6"/>
        <v>1</v>
      </c>
      <c r="S7" s="22">
        <f>RANK(R7,R4:R7,1)+COUNTIF(R4:R7,R7)-1</f>
        <v>4</v>
      </c>
      <c r="T7" s="22">
        <v>4</v>
      </c>
      <c r="U7" s="22" t="str">
        <f>INDEX(C4:C7,MATCH(T7,S4:S7,0),0)</f>
        <v>Canada</v>
      </c>
      <c r="V7" s="22">
        <f>INDEX(R4:R7,MATCH(U7,C4:C7,0),0)</f>
        <v>1</v>
      </c>
      <c r="W7" s="22" t="str">
        <f>IF(AND(W6&lt;&gt;"",V7=1),U7,"")</f>
        <v>Canada</v>
      </c>
      <c r="X7" s="22" t="str">
        <f>IF(AND(X6&lt;&gt;"",V7=2),U7,"")</f>
        <v/>
      </c>
      <c r="Y7" s="22" t="str">
        <f>IF(AND(Y6&lt;&gt;"",V7=3),U7,"")</f>
        <v/>
      </c>
      <c r="Z7" s="22">
        <f>SUMPRODUCT((Matches!F5:F28=W7)*(Matches!K5:K28=W4)*(Matches!H5:H28&gt;Matches!I5:I28)*1)+SUMPRODUCT((Matches!K5:K28=W7)*(Matches!F5:F28=W4)*(Matches!I5:I28&gt;Matches!H5:H28)*1)+SUMPRODUCT((Matches!F5:F28=W7)*(Matches!K5:K28=W5)*(Matches!H5:H28&gt;Matches!I5:I28)*1)+SUMPRODUCT((Matches!K5:K28=W7)*(Matches!F5:F28=W5)*(Matches!I5:I28&gt;Matches!H5:H28)*1)+SUMPRODUCT((Matches!F5:F28=W7)*(Matches!K5:K28=W6)*(Matches!H5:H28&gt;Matches!I5:I28)*1)+SUMPRODUCT((Matches!K5:K28=W7)*(Matches!F5:F28=W6)*(Matches!I5:I28&gt;Matches!H5:H28)*1)</f>
        <v>0</v>
      </c>
      <c r="AA7" s="22">
        <f>SUMPRODUCT((Matches!F5:F28=W7)*(Matches!K5:K28=W4)*(Matches!H5:H28=Matches!I5:I28)*1)+SUMPRODUCT((Matches!K5:K28=W7)*(Matches!F5:F28=W4)*(Matches!H5:H28=Matches!I5:I28)*1)+SUMPRODUCT((Matches!F5:F28=W7)*(Matches!K5:K28=W5)*(Matches!H5:H28=Matches!I5:I28)*1)+SUMPRODUCT((Matches!K5:K28=W7)*(Matches!F5:F28=W5)*(Matches!H5:H28=Matches!I5:I28)*1)+SUMPRODUCT((Matches!F5:F28=W7)*(Matches!K5:K28=W6)*(Matches!H5:H28=Matches!I5:I28)*1)+SUMPRODUCT((Matches!K5:K28=W7)*(Matches!F5:F28=W6)*(Matches!H5:H28=Matches!I5:I28)*1)</f>
        <v>3</v>
      </c>
      <c r="AB7" s="22">
        <f>SUMPRODUCT((Matches!F5:F28=W7)*(Matches!K5:K28=W4)*(Matches!H5:H28&lt;Matches!I5:I28)*1)+SUMPRODUCT((Matches!K5:K28=W7)*(Matches!F5:F28=W4)*(Matches!I5:I28&lt;Matches!H5:H28)*1)+SUMPRODUCT((Matches!F5:F28=W7)*(Matches!K5:K28=W5)*(Matches!H5:H28&lt;Matches!I5:I28)*1)+SUMPRODUCT((Matches!K5:K28=W7)*(Matches!F5:F28=W5)*(Matches!I5:I28&lt;Matches!H5:H28)*1)+SUMPRODUCT((Matches!F5:F28=W7)*(Matches!K5:K28=W6)*(Matches!H5:H28&lt;Matches!I5:I28)*1)+SUMPRODUCT((Matches!K5:K28=W7)*(Matches!F5:F28=W6)*(Matches!I5:I28&lt;Matches!H5:H28)*1)</f>
        <v>0</v>
      </c>
      <c r="AC7" s="22">
        <f>SUMIFS(Matches!H5:H28,Matches!F5:F28,W7,Matches!K5:K28,W4)+SUMIFS(Matches!H5:H28,Matches!F5:F28,W7,Matches!K5:K28,W5)+SUMIFS(Matches!H5:H28,Matches!F5:F28,W7,Matches!K5:K28,W6)+SUMIFS(Matches!I5:I28,Matches!K5:K28,W7,Matches!F5:F28,W4)+SUMIFS(Matches!I5:I28,Matches!K5:K28,W7,Matches!F5:F28,W5)+SUMIFS(Matches!I5:I28,Matches!K5:K28,W7,Matches!F5:F28,W6)</f>
        <v>0</v>
      </c>
      <c r="AD7" s="22">
        <f>SUMIFS(Matches!I5:I28,Matches!F5:F28,W7,Matches!K5:K28,W4)+SUMIFS(Matches!I5:I28,Matches!F5:F28,W7,Matches!K5:K28,W5)+SUMIFS(Matches!I5:I28,Matches!F5:F28,W7,Matches!K5:K28,W6)+SUMIFS(Matches!H5:H28,Matches!K5:K28,W7,Matches!F5:F28,W4)+SUMIFS(Matches!H5:H28,Matches!K5:K28,W7,Matches!F5:F28,W5)+SUMIFS(Matches!H5:H28,Matches!K5:K28,W7,Matches!F5:F28,W6)</f>
        <v>0</v>
      </c>
      <c r="AE7" s="22">
        <f t="shared" si="7"/>
        <v>0</v>
      </c>
      <c r="AF7" s="22">
        <f t="shared" si="8"/>
        <v>3</v>
      </c>
      <c r="AG7" s="22">
        <f>IF(W7&lt;&gt;"",SUMPRODUCT((V4:V7=V7)*(AF4:AF7&gt;AF7)*1),0)</f>
        <v>0</v>
      </c>
      <c r="AH7" s="22">
        <f>IF(W7&lt;&gt;"",SUMPRODUCT((AG4:AG7=AG7)*(AE4:AE7&gt;AE7)*1),0)</f>
        <v>0</v>
      </c>
      <c r="AI7" s="22">
        <f t="shared" si="0"/>
        <v>0</v>
      </c>
      <c r="AJ7" s="22">
        <f>IF(W7&lt;&gt;"",SUMPRODUCT((AI4:AI7=AI7)*(AG4:AG7=AG7)*(AC4:AC7&gt;AC7)*1),0)</f>
        <v>0</v>
      </c>
      <c r="AK7" s="22">
        <f t="shared" si="9"/>
        <v>1</v>
      </c>
      <c r="AL7" s="22">
        <f>SUMPRODUCT((Matches!F5:F28=X7)*(Matches!K5:K28=X5)*(Matches!H5:H28&gt;Matches!I5:I28)*1)+SUMPRODUCT((Matches!K5:K28=X7)*(Matches!F5:F28=X5)*(Matches!I5:I28&gt;Matches!H5:H28)*1)+SUMPRODUCT((Matches!F5:F28=X7)*(Matches!K5:K28=X6)*(Matches!H5:H28&gt;Matches!I5:I28)*1)+SUMPRODUCT((Matches!K5:K28=X7)*(Matches!F5:F28=X6)*(Matches!I5:I28&gt;Matches!H5:H28)*1)</f>
        <v>0</v>
      </c>
      <c r="AM7" s="22">
        <f>SUMPRODUCT((Matches!F5:F28=X7)*(Matches!K5:K28=X5)*(Matches!H5:H28=Matches!I5:I28)*1)+SUMPRODUCT((Matches!K5:K28=X7)*(Matches!F5:F28=X5)*(Matches!H5:H28=Matches!I5:I28)*1)+SUMPRODUCT((Matches!F5:F28=X7)*(Matches!K5:K28=X6)*(Matches!H5:H28=Matches!I5:I28)*1)+SUMPRODUCT((Matches!K5:K28=X7)*(Matches!F5:F28=X6)*(Matches!H5:H28=Matches!I5:I28)*1)</f>
        <v>0</v>
      </c>
      <c r="AN7" s="22">
        <f>SUMPRODUCT((Matches!F5:F28=X7)*(Matches!K5:K28=X5)*(Matches!H5:H28&lt;Matches!I5:I28)*1)+SUMPRODUCT((Matches!K5:K28=X7)*(Matches!F5:F28=X5)*(Matches!I5:I28&lt;Matches!H5:H28)*1)+SUMPRODUCT((Matches!F5:F28=X7)*(Matches!K5:K28=X6)*(Matches!H5:H28&lt;Matches!I5:I28)*1)+SUMPRODUCT((Matches!K5:K28=X7)*(Matches!F5:F28=X6)*(Matches!I5:I28&lt;Matches!H5:H28)*1)</f>
        <v>0</v>
      </c>
      <c r="AO7" s="22">
        <f>SUMIFS(Matches!H5:H28,Matches!F5:F28,X7,Matches!K5:K28,X5)+SUMIFS(Matches!H5:H28,Matches!F5:F28,X7,Matches!K5:K28,X6)+SUMIFS(Matches!I5:I28,Matches!K5:K28,X7,Matches!F5:F28,X5)+SUMIFS(Matches!I5:I28,Matches!K5:K28,X7,Matches!F5:F28,X6)</f>
        <v>0</v>
      </c>
      <c r="AP7" s="22">
        <f>SUMIFS(Matches!H5:H28,Matches!F5:F28,X7,Matches!K5:K28,X5)+SUMIFS(Matches!H5:H28,Matches!F5:F28,X7,Matches!K5:K28,X6)+SUMIFS(Matches!I5:I28,Matches!K5:K28,X7,Matches!F5:F28,X5)+SUMIFS(Matches!I5:I28,Matches!K5:K28,X7,Matches!F5:F28,X6)</f>
        <v>0</v>
      </c>
      <c r="AQ7" s="22">
        <f t="shared" si="10"/>
        <v>0</v>
      </c>
      <c r="AR7" s="22">
        <f t="shared" si="11"/>
        <v>0</v>
      </c>
      <c r="AS7" s="22">
        <f>IF(X7&lt;&gt;"",SUMPRODUCT((V4:V7=V7)*(AR4:AR7&gt;AR7)*1),0)</f>
        <v>0</v>
      </c>
      <c r="AT7" s="22">
        <f>IF(X7&lt;&gt;"",SUMPRODUCT((AS4:AS7=AS7)*(AQ4:AQ7&gt;AQ7)*1),0)</f>
        <v>0</v>
      </c>
      <c r="AU7" s="22">
        <f t="shared" si="12"/>
        <v>0</v>
      </c>
      <c r="AV7" s="22">
        <f>IF(X7&lt;&gt;"",SUMPRODUCT((AU4:AU7=AU7)*(AS4:AS7=AS7)*(AO4:AO7&gt;AO7)*1),0)</f>
        <v>0</v>
      </c>
      <c r="AW7" s="22">
        <f t="shared" si="13"/>
        <v>1</v>
      </c>
      <c r="AX7" s="22">
        <f>SUMPRODUCT((Matches!F5:F28=Y7)*(Matches!K5:K28=Y6)*(Matches!H5:H28&gt;Matches!I5:I28)*1)+SUMPRODUCT((Matches!K5:K28=Y7)*(Matches!F5:F28=Y6)*(Matches!I5:I28&gt;Matches!H5:H28)*1)</f>
        <v>0</v>
      </c>
      <c r="AY7" s="22">
        <f>SUMPRODUCT((Matches!F5:F28=Y7)*(Matches!K5:K28=Y6)*(Matches!H5:H28=Matches!I5:I28)*1)+SUMPRODUCT((Matches!K5:K28=Y7)*(Matches!F5:F28=Y6)*(Matches!I5:I28=Matches!H5:H28)*1)</f>
        <v>0</v>
      </c>
      <c r="AZ7" s="22">
        <f>SUMPRODUCT((Matches!F5:F28=Y7)*(Matches!K5:K28=Y6)*(Matches!H5:H28&lt;Matches!I5:I28)*1)+SUMPRODUCT((Matches!K5:K28=Y7)*(Matches!F5:F28=Y6)*(Matches!I5:I28&lt;Matches!H5:H28)*1)</f>
        <v>0</v>
      </c>
      <c r="BA7" s="22">
        <f>SUMIFS(Matches!H5:H28,Matches!F5:F28,Y7,Matches!K5:K28,Y6)+SUMIFS(Matches!I5:I28,Matches!K5:K28,Y7,Matches!F5:F28,Y6)</f>
        <v>0</v>
      </c>
      <c r="BB7" s="22">
        <f>SUMIFS(Matches!H5:H28,Matches!F5:F28,Y7,Matches!K5:K28,Y6)+SUMIFS(Matches!I5:I28,Matches!K5:K28,Y7,Matches!F5:F28,Y6)</f>
        <v>0</v>
      </c>
      <c r="BC7" s="22">
        <f t="shared" si="15"/>
        <v>0</v>
      </c>
      <c r="BD7" s="22">
        <f t="shared" si="16"/>
        <v>0</v>
      </c>
      <c r="BE7" s="22">
        <f>IF(Y7&lt;&gt;"",SUMPRODUCT((AH4:AH7=AH7)*(BD4:BD7&gt;BD7)*1),0)</f>
        <v>0</v>
      </c>
      <c r="BF7" s="22">
        <f>IF(Y7&lt;&gt;"",SUMPRODUCT((BE4:BE7=BE7)*(BC4:BC7&gt;BC7)*1),0)</f>
        <v>0</v>
      </c>
      <c r="BG7" s="22">
        <f>BE7+BF7</f>
        <v>0</v>
      </c>
      <c r="BH7" s="22">
        <f>IF(Y7&lt;&gt;"",SUMPRODUCT((BG4:BG7=BG7)*(BE4:BE7=BE7)*(BA4:BA7&gt;BA7)*1),0)</f>
        <v>0</v>
      </c>
      <c r="BI7" s="22">
        <f t="shared" si="17"/>
        <v>1</v>
      </c>
      <c r="BJ7" s="22">
        <f>SUMPRODUCT((BI4:BI7=BI7)*(A4:A7&gt;A7)*1)</f>
        <v>3</v>
      </c>
      <c r="BK7" s="22">
        <f t="shared" si="14"/>
        <v>4</v>
      </c>
      <c r="BM7" s="192" t="s">
        <v>60</v>
      </c>
      <c r="BN7" s="193"/>
      <c r="BO7" s="194" t="str">
        <f>Calculator!C4</f>
        <v>Argentina</v>
      </c>
      <c r="BP7" s="195" t="s">
        <v>379</v>
      </c>
      <c r="BQ7" s="194"/>
      <c r="BR7" s="189">
        <v>1</v>
      </c>
      <c r="BS7" s="196">
        <v>-12</v>
      </c>
      <c r="BT7" s="22">
        <f>TimeZoneData</f>
        <v>0</v>
      </c>
      <c r="BU7" s="10">
        <v>1</v>
      </c>
      <c r="BV7" s="197">
        <f t="shared" ref="BV7:BV38" si="18">BW7</f>
        <v>45463.833333333336</v>
      </c>
      <c r="BW7" s="198">
        <v>45463.833333333336</v>
      </c>
      <c r="BX7" s="199">
        <f t="shared" ref="BX7:BX38" si="19">BW7+TimeZoneData/24</f>
        <v>45463.833333333336</v>
      </c>
      <c r="BY7" s="189">
        <f>SUM(Matches!R5:R8)</f>
        <v>0</v>
      </c>
      <c r="BZ7" s="189" t="str">
        <f>INDEX(Language!$A$1:$K$80,MATCH(Setup!B8,Language!$B$1:$B$80,0),MATCH(Setup!$C$5,Language!$A$1:$J$1,0))</f>
        <v>Argentina</v>
      </c>
    </row>
    <row r="8" spans="1:78" x14ac:dyDescent="0.25">
      <c r="A8" s="22">
        <f>INDEX(M4:M35,MATCH(U8,C4:C35,0),0)</f>
        <v>1664</v>
      </c>
      <c r="B8" s="22">
        <f>B4</f>
        <v>1</v>
      </c>
      <c r="C8" s="22" t="str">
        <f t="shared" si="1"/>
        <v>Mexico</v>
      </c>
      <c r="D8" s="22">
        <f t="shared" si="2"/>
        <v>0</v>
      </c>
      <c r="E8" s="22">
        <f>SUMPRODUCT((Matches!H5:H28&lt;&gt;"")*(Matches!F5:F28=C8)*(Matches!H5:H28&gt;Matches!I5:I28)*1)+SUMPRODUCT((Matches!H5:H28&lt;&gt;"")*(Matches!K5:K28=C8)*(Matches!I5:I28&gt;Matches!H5:H28)*1)</f>
        <v>0</v>
      </c>
      <c r="F8" s="22">
        <f>SUMPRODUCT((Matches!H5:H28&lt;&gt;"")*(Matches!F5:F28=C8)*(Matches!H5:H28=Matches!I5:I28)*1)+SUMPRODUCT((Matches!H5:H28&lt;&gt;"")*(Matches!K5:K28=C8)*(Matches!H5:H28=Matches!I5:I28)*1)</f>
        <v>0</v>
      </c>
      <c r="G8" s="22">
        <f>SUMPRODUCT((Matches!H5:H28&lt;&gt;"")*(Matches!F5:F28=C8)*(Matches!H5:H28&lt;Matches!I5:I28)*1)+SUMPRODUCT((Matches!H5:H28&lt;&gt;"")*(Matches!K5:K28=C8)*(Matches!I5:I28&lt;Matches!H5:H28)*1)</f>
        <v>0</v>
      </c>
      <c r="H8" s="22">
        <f>SUMIF(Matches!F5:F28,C8,Matches!H5:H28)+SUMIF(Matches!K5:K28,C8,Matches!I5:I28)</f>
        <v>0</v>
      </c>
      <c r="I8" s="22">
        <f>SUMIF(Matches!F5:F28,C8,Matches!I5:I28)+SUMIF(Matches!K5:K28,C8,Matches!H5:H28)</f>
        <v>0</v>
      </c>
      <c r="J8" s="22">
        <f t="shared" si="3"/>
        <v>0</v>
      </c>
      <c r="K8" s="22">
        <f t="shared" si="4"/>
        <v>0</v>
      </c>
      <c r="L8" s="22">
        <f>Setup!E12</f>
        <v>1664</v>
      </c>
      <c r="M8" s="22">
        <f>IF(Setup!F12&lt;&gt;"",-Setup!F12,Setup!E12)</f>
        <v>1664</v>
      </c>
      <c r="N8" s="22">
        <f>RANK(K8,K8:K11)</f>
        <v>1</v>
      </c>
      <c r="O8" s="22">
        <f>SUMPRODUCT((N8:N11=N8)*(J8:J11&gt;J8)*1)</f>
        <v>0</v>
      </c>
      <c r="P8" s="22">
        <f t="shared" si="5"/>
        <v>1</v>
      </c>
      <c r="Q8" s="22">
        <f>SUMPRODUCT((N8:N11=N8)*(J8:J11=J8)*(H8:H11&gt;H8)*1)</f>
        <v>0</v>
      </c>
      <c r="R8" s="22">
        <f t="shared" si="6"/>
        <v>1</v>
      </c>
      <c r="S8" s="22">
        <f>RANK(R8,R8:R11,1)+COUNTIF(R8:R8,R8)-1</f>
        <v>1</v>
      </c>
      <c r="T8" s="22">
        <v>1</v>
      </c>
      <c r="U8" s="22" t="str">
        <f t="shared" ref="U8" si="20">INDEX(C8:C11,MATCH(T8,S8:S11,0),0)</f>
        <v>Mexico</v>
      </c>
      <c r="V8" s="22">
        <f>INDEX(R8:R11,MATCH(U8,C8:C11,0),0)</f>
        <v>1</v>
      </c>
      <c r="W8" s="22" t="str">
        <f t="shared" ref="W8" si="21">IF(V9=1,U8,"")</f>
        <v>Mexico</v>
      </c>
      <c r="Z8" s="22">
        <f>SUMPRODUCT((Matches!F5:F28=W8)*(Matches!K5:K28=W9)*(Matches!H5:H28&gt;Matches!I5:I28)*1)+SUMPRODUCT((Matches!K5:K28=W8)*(Matches!F5:F28=W9)*(Matches!I5:I28&gt;Matches!H5:H28)*1)+SUMPRODUCT((Matches!F5:F28=W8)*(Matches!K5:K28=W10)*(Matches!H5:H28&gt;Matches!I5:I28)*1)+SUMPRODUCT((Matches!K5:K28=W8)*(Matches!F5:F28=W10)*(Matches!I5:I28&gt;Matches!H5:H28)*1)+SUMPRODUCT((Matches!F5:F28=W8)*(Matches!K5:K28=W11)*(Matches!H5:H28&gt;Matches!I5:I28)*1)+SUMPRODUCT((Matches!K5:K28=W8)*(Matches!F5:F28=W11)*(Matches!I5:I28&gt;Matches!H5:H28)*1)</f>
        <v>0</v>
      </c>
      <c r="AA8" s="22">
        <f>SUMPRODUCT((Matches!F5:F28=W8)*(Matches!K5:K28=W9)*(Matches!H5:H28=Matches!I5:I28)*1)+SUMPRODUCT((Matches!K5:K28=W8)*(Matches!F5:F28=W9)*(Matches!H5:H28=Matches!I5:I28)*1)+SUMPRODUCT((Matches!F5:F28=W8)*(Matches!K5:K28=W10)*(Matches!H5:H28=Matches!I5:I28)*1)+SUMPRODUCT((Matches!K5:K28=W8)*(Matches!F5:F28=W10)*(Matches!H5:H28=Matches!I5:I28)*1)+SUMPRODUCT((Matches!F5:F28=W8)*(Matches!K5:K28=W11)*(Matches!H5:H28=Matches!I5:I28)*1)+SUMPRODUCT((Matches!K5:K28=W8)*(Matches!F5:F28=W11)*(Matches!H5:H28=Matches!I5:I28)*1)</f>
        <v>3</v>
      </c>
      <c r="AB8" s="22">
        <f>SUMPRODUCT((Matches!F5:F28=W8)*(Matches!K5:K28=W9)*(Matches!H5:H28&lt;Matches!I5:I28)*1)+SUMPRODUCT((Matches!K5:K28=W8)*(Matches!F5:F28=W9)*(Matches!I5:I28&lt;Matches!H5:H28)*1)+SUMPRODUCT((Matches!F5:F28=W8)*(Matches!K5:K28=W10)*(Matches!H5:H28&lt;Matches!I5:I28)*1)+SUMPRODUCT((Matches!K5:K28=W8)*(Matches!F5:F28=W10)*(Matches!I5:I28&lt;Matches!H5:H28)*1)+SUMPRODUCT((Matches!F5:F28=W8)*(Matches!K5:K28=W11)*(Matches!H5:H28&lt;Matches!I5:I28)*1)+SUMPRODUCT((Matches!K5:K28=W8)*(Matches!F5:F28=W11)*(Matches!I5:I28&lt;Matches!H5:H28)*1)</f>
        <v>0</v>
      </c>
      <c r="AC8" s="22">
        <f>SUMIFS(Matches!H5:H28,Matches!F5:F28,W8,Matches!K5:K28,W9)+SUMIFS(Matches!H5:H28,Matches!F5:F28,W8,Matches!K5:K28,W10)+SUMIFS(Matches!H5:H28,Matches!F5:F28,W8,Matches!K5:K28,W11)+SUMIFS(Matches!I5:I28,Matches!K5:K28,W8,Matches!F5:F28,W9)+SUMIFS(Matches!I5:I28,Matches!K5:K28,W8,Matches!F5:F28,W10)+SUMIFS(Matches!I5:I28,Matches!K5:K28,W8,Matches!F5:F28,W11)</f>
        <v>0</v>
      </c>
      <c r="AD8" s="22">
        <f>SUMIFS(Matches!I5:I28,Matches!F5:F28,W8,Matches!K5:K28,W9)+SUMIFS(Matches!I5:I28,Matches!F5:F28,W8,Matches!K5:K28,W10)+SUMIFS(Matches!I5:I28,Matches!F5:F28,W8,Matches!K5:K28,W11)+SUMIFS(Matches!H5:H28,Matches!K5:K28,W8,Matches!F5:F28,W9)+SUMIFS(Matches!H5:H28,Matches!K5:K28,W8,Matches!F5:F28,W10)+SUMIFS(Matches!H5:H28,Matches!K5:K28,W8,Matches!F5:F28,W11)</f>
        <v>0</v>
      </c>
      <c r="AE8" s="22">
        <f t="shared" si="7"/>
        <v>0</v>
      </c>
      <c r="AF8" s="22">
        <f t="shared" si="8"/>
        <v>3</v>
      </c>
      <c r="AG8" s="22">
        <f t="shared" ref="AG8" si="22">IF(W8&lt;&gt;"",SUMPRODUCT((V8:V11=V8)*(AF8:AF11&gt;AF8)*1),0)</f>
        <v>0</v>
      </c>
      <c r="AH8" s="22">
        <f t="shared" ref="AH8" si="23">IF(W8&lt;&gt;"",SUMPRODUCT((AG8:AG11=AG8)*(AE8:AE11&gt;AE8)*1),0)</f>
        <v>0</v>
      </c>
      <c r="AI8" s="22">
        <f t="shared" si="0"/>
        <v>0</v>
      </c>
      <c r="AJ8" s="22">
        <f t="shared" ref="AJ8" si="24">IF(W8&lt;&gt;"",SUMPRODUCT((AI8:AI11=AI8)*(AG8:AG11=AG8)*(AC8:AC11&gt;AC8)*1),0)</f>
        <v>0</v>
      </c>
      <c r="AK8" s="22">
        <f t="shared" si="9"/>
        <v>1</v>
      </c>
      <c r="AL8" s="22">
        <v>0</v>
      </c>
      <c r="AM8" s="22">
        <v>0</v>
      </c>
      <c r="AN8" s="22">
        <v>0</v>
      </c>
      <c r="AO8" s="22">
        <v>0</v>
      </c>
      <c r="AP8" s="22">
        <v>0</v>
      </c>
      <c r="AQ8" s="22">
        <f t="shared" si="10"/>
        <v>0</v>
      </c>
      <c r="AR8" s="22">
        <f t="shared" si="11"/>
        <v>0</v>
      </c>
      <c r="AS8" s="22">
        <v>0</v>
      </c>
      <c r="AT8" s="22">
        <v>0</v>
      </c>
      <c r="AU8" s="22">
        <f t="shared" si="12"/>
        <v>0</v>
      </c>
      <c r="AV8" s="22">
        <v>0</v>
      </c>
      <c r="AW8" s="22">
        <f t="shared" si="13"/>
        <v>1</v>
      </c>
      <c r="AX8" s="22">
        <v>0</v>
      </c>
      <c r="AY8" s="22">
        <v>0</v>
      </c>
      <c r="AZ8" s="22">
        <v>0</v>
      </c>
      <c r="BA8" s="22">
        <v>0</v>
      </c>
      <c r="BB8" s="22">
        <v>0</v>
      </c>
      <c r="BC8" s="22">
        <v>0</v>
      </c>
      <c r="BD8" s="22">
        <v>0</v>
      </c>
      <c r="BE8" s="22">
        <v>0</v>
      </c>
      <c r="BF8" s="22">
        <v>0</v>
      </c>
      <c r="BG8" s="22">
        <v>0</v>
      </c>
      <c r="BH8" s="22">
        <v>0</v>
      </c>
      <c r="BI8" s="22">
        <f t="shared" si="17"/>
        <v>1</v>
      </c>
      <c r="BJ8" s="22">
        <f>SUMPRODUCT((BI8:BI11=BI8)*(A8:A11&gt;A8)*1)</f>
        <v>0</v>
      </c>
      <c r="BK8" s="22">
        <f t="shared" si="14"/>
        <v>1</v>
      </c>
      <c r="BM8" s="192"/>
      <c r="BN8" s="193"/>
      <c r="BO8" s="194" t="str">
        <f>Calculator!C5</f>
        <v>Peru</v>
      </c>
      <c r="BP8" s="195" t="s">
        <v>380</v>
      </c>
      <c r="BQ8" s="194"/>
      <c r="BR8" s="189">
        <v>2</v>
      </c>
      <c r="BS8" s="196">
        <v>-11.5</v>
      </c>
      <c r="BT8" s="22"/>
      <c r="BU8" s="10">
        <v>2</v>
      </c>
      <c r="BV8" s="197">
        <f t="shared" si="18"/>
        <v>45464.833333333336</v>
      </c>
      <c r="BW8" s="198">
        <v>45464.833333333336</v>
      </c>
      <c r="BX8" s="199">
        <f t="shared" si="19"/>
        <v>45464.833333333336</v>
      </c>
      <c r="BZ8" s="189" t="str">
        <f>INDEX(Language!$A$1:$K$80,MATCH(Setup!B9,Language!$B$1:$B$80,0),MATCH(Setup!$C$5,Language!$A$1:$J$1,0))</f>
        <v>Peru</v>
      </c>
    </row>
    <row r="9" spans="1:78" x14ac:dyDescent="0.25">
      <c r="A9" s="22">
        <f>INDEX(M4:M35,MATCH(U9,C4:C35,0),0)</f>
        <v>1508</v>
      </c>
      <c r="B9" s="22">
        <f t="shared" ref="B9:B19" si="25">B5</f>
        <v>2</v>
      </c>
      <c r="C9" s="22" t="str">
        <f t="shared" si="1"/>
        <v>Ecuador</v>
      </c>
      <c r="D9" s="22">
        <f t="shared" si="2"/>
        <v>0</v>
      </c>
      <c r="E9" s="22">
        <f>SUMPRODUCT((Matches!H5:H28&lt;&gt;"")*(Matches!F5:F28=C9)*(Matches!H5:H28&gt;Matches!I5:I28)*1)+SUMPRODUCT((Matches!H5:H28&lt;&gt;"")*(Matches!K5:K28=C9)*(Matches!I5:I28&gt;Matches!H5:H28)*1)</f>
        <v>0</v>
      </c>
      <c r="F9" s="22">
        <f>SUMPRODUCT((Matches!H5:H28&lt;&gt;"")*(Matches!F5:F28=C9)*(Matches!H5:H28=Matches!I5:I28)*1)+SUMPRODUCT((Matches!H5:H28&lt;&gt;"")*(Matches!K5:K28=C9)*(Matches!H5:H28=Matches!I5:I28)*1)</f>
        <v>0</v>
      </c>
      <c r="G9" s="22">
        <f>SUMPRODUCT((Matches!H5:H28&lt;&gt;"")*(Matches!F5:F28=C9)*(Matches!H5:H28&lt;Matches!I5:I28)*1)+SUMPRODUCT((Matches!H5:H28&lt;&gt;"")*(Matches!K5:K28=C9)*(Matches!I5:I28&lt;Matches!H5:H28)*1)</f>
        <v>0</v>
      </c>
      <c r="H9" s="22">
        <f>SUMIF(Matches!F5:F28,C9,Matches!H5:H28)+SUMIF(Matches!K5:K28,C9,Matches!I5:I28)</f>
        <v>0</v>
      </c>
      <c r="I9" s="22">
        <f>SUMIF(Matches!F5:F28,C9,Matches!I5:I28)+SUMIF(Matches!K5:K28,C9,Matches!H5:H28)</f>
        <v>0</v>
      </c>
      <c r="J9" s="22">
        <f t="shared" si="3"/>
        <v>0</v>
      </c>
      <c r="K9" s="22">
        <f t="shared" si="4"/>
        <v>0</v>
      </c>
      <c r="L9" s="22">
        <f>Setup!E13</f>
        <v>1508</v>
      </c>
      <c r="M9" s="22">
        <f>IF(Setup!F13&lt;&gt;"",-Setup!F13,Setup!E13)</f>
        <v>1508</v>
      </c>
      <c r="N9" s="22">
        <f>RANK(K9,K8:K11)</f>
        <v>1</v>
      </c>
      <c r="O9" s="22">
        <f>SUMPRODUCT((N8:N11=N9)*(J8:J11&gt;J9)*1)</f>
        <v>0</v>
      </c>
      <c r="P9" s="22">
        <f t="shared" si="5"/>
        <v>1</v>
      </c>
      <c r="Q9" s="22">
        <f>SUMPRODUCT((N8:N11=N9)*(J8:J11=J9)*(H8:H11&gt;H9)*1)</f>
        <v>0</v>
      </c>
      <c r="R9" s="22">
        <f t="shared" si="6"/>
        <v>1</v>
      </c>
      <c r="S9" s="22">
        <f>RANK(R9,R8:R11,1)+COUNTIF(R8:R9,R9)-1</f>
        <v>2</v>
      </c>
      <c r="T9" s="22">
        <v>2</v>
      </c>
      <c r="U9" s="22" t="str">
        <f t="shared" ref="U9" si="26">INDEX(C8:C11,MATCH(T9,S8:S11,0),0)</f>
        <v>Ecuador</v>
      </c>
      <c r="V9" s="22">
        <f>INDEX(R8:R11,MATCH(U9,C8:C11,0),0)</f>
        <v>1</v>
      </c>
      <c r="W9" s="22" t="str">
        <f t="shared" ref="W9" si="27">IF(W8&lt;&gt;"",U9,"")</f>
        <v>Ecuador</v>
      </c>
      <c r="X9" s="22" t="str">
        <f t="shared" ref="X9" si="28">IF(V10=2,U9,"")</f>
        <v/>
      </c>
      <c r="Z9" s="22">
        <f>SUMPRODUCT((Matches!F5:F28=W9)*(Matches!K5:K28=W8)*(Matches!H5:H28&gt;Matches!I5:I28)*1)+SUMPRODUCT((Matches!K5:K28=W9)*(Matches!F5:F28=W8)*(Matches!I5:I28&gt;Matches!H5:H28)*1)+SUMPRODUCT((Matches!F5:F28=W9)*(Matches!K5:K28=W10)*(Matches!H5:H28&gt;Matches!I5:I28)*1)+SUMPRODUCT((Matches!K5:K28=W9)*(Matches!F5:F28=W10)*(Matches!I5:I28&gt;Matches!H5:H28)*1)+SUMPRODUCT((Matches!F5:F28=W9)*(Matches!K5:K28=W11)*(Matches!H5:H28&gt;Matches!I5:I28)*1)+SUMPRODUCT((Matches!K5:K28=W9)*(Matches!F5:F28=W11)*(Matches!I5:I28&gt;Matches!H5:H28)*1)</f>
        <v>0</v>
      </c>
      <c r="AA9" s="22">
        <f>SUMPRODUCT((Matches!F5:F28=W9)*(Matches!K5:K28=W8)*(Matches!H5:H28=Matches!I5:I28)*1)+SUMPRODUCT((Matches!K5:K28=W9)*(Matches!F5:F28=W8)*(Matches!H5:H28=Matches!I5:I28)*1)+SUMPRODUCT((Matches!F5:F28=W9)*(Matches!K5:K28=W10)*(Matches!H5:H28=Matches!I5:I28)*1)+SUMPRODUCT((Matches!K5:K28=W9)*(Matches!F5:F28=W10)*(Matches!H5:H28=Matches!I5:I28)*1)+SUMPRODUCT((Matches!F5:F28=W9)*(Matches!K5:K28=W11)*(Matches!H5:H28=Matches!I5:I28)*1)+SUMPRODUCT((Matches!K5:K28=W9)*(Matches!F5:F28=W11)*(Matches!H5:H28=Matches!I5:I28)*1)</f>
        <v>3</v>
      </c>
      <c r="AB9" s="22">
        <f>SUMPRODUCT((Matches!F5:F28=W9)*(Matches!K5:K28=W8)*(Matches!H5:H28&lt;Matches!I5:I28)*1)+SUMPRODUCT((Matches!K5:K28=W9)*(Matches!F5:F28=W8)*(Matches!I5:I28&lt;Matches!H5:H28)*1)+SUMPRODUCT((Matches!F5:F28=W9)*(Matches!K5:K28=W10)*(Matches!H5:H28&lt;Matches!I5:I28)*1)+SUMPRODUCT((Matches!K5:K28=W9)*(Matches!F5:F28=W10)*(Matches!I5:I28&lt;Matches!H5:H28)*1)+SUMPRODUCT((Matches!F5:F28=W9)*(Matches!K5:K28=W11)*(Matches!H5:H28&lt;Matches!I5:I28)*1)+SUMPRODUCT((Matches!K5:K28=W9)*(Matches!F5:F28=W11)*(Matches!I5:I28&lt;Matches!H5:H28)*1)</f>
        <v>0</v>
      </c>
      <c r="AC9" s="22">
        <f>SUMIFS(Matches!H5:H28,Matches!F5:F28,W9,Matches!K5:K28,W8)+SUMIFS(Matches!H5:H28,Matches!F5:F28,W9,Matches!K5:K28,W10)+SUMIFS(Matches!H5:H28,Matches!F5:F28,W9,Matches!K5:K28,W11)+SUMIFS(Matches!I5:I28,Matches!K5:K28,W9,Matches!F5:F28,W8)+SUMIFS(Matches!I5:I28,Matches!K5:K28,W9,Matches!F5:F28,W10)+SUMIFS(Matches!I5:I28,Matches!K5:K28,W9,Matches!F5:F28,W11)</f>
        <v>0</v>
      </c>
      <c r="AD9" s="22">
        <f>SUMIFS(Matches!I5:I28,Matches!F5:F28,W9,Matches!K5:K28,W8)+SUMIFS(Matches!I5:I28,Matches!F5:F28,W9,Matches!K5:K28,W10)+SUMIFS(Matches!I5:I28,Matches!F5:F28,W9,Matches!K5:K28,W11)+SUMIFS(Matches!H5:H28,Matches!K5:K28,W9,Matches!F5:F28,W8)+SUMIFS(Matches!H5:H28,Matches!K5:K28,W9,Matches!F5:F28,W10)+SUMIFS(Matches!H5:H28,Matches!K5:K28,W9,Matches!F5:F28,W11)</f>
        <v>0</v>
      </c>
      <c r="AE9" s="22">
        <f t="shared" si="7"/>
        <v>0</v>
      </c>
      <c r="AF9" s="22">
        <f t="shared" si="8"/>
        <v>3</v>
      </c>
      <c r="AG9" s="22">
        <f t="shared" ref="AG9" si="29">IF(W9&lt;&gt;"",SUMPRODUCT((V8:V11=V9)*(AF8:AF11&gt;AF9)*1),0)</f>
        <v>0</v>
      </c>
      <c r="AH9" s="22">
        <f t="shared" ref="AH9" si="30">IF(W9&lt;&gt;"",SUMPRODUCT((AG8:AG11=AG9)*(AE8:AE11&gt;AE9)*1),0)</f>
        <v>0</v>
      </c>
      <c r="AI9" s="22">
        <f t="shared" si="0"/>
        <v>0</v>
      </c>
      <c r="AJ9" s="22">
        <f t="shared" ref="AJ9" si="31">IF(W9&lt;&gt;"",SUMPRODUCT((AI8:AI11=AI9)*(AG8:AG11=AG9)*(AC8:AC11&gt;AC9)*1),0)</f>
        <v>0</v>
      </c>
      <c r="AK9" s="22">
        <f t="shared" si="9"/>
        <v>1</v>
      </c>
      <c r="AL9" s="22">
        <f>SUMPRODUCT((Matches!F5:F28=X9)*(Matches!K5:K28=X10)*(Matches!H5:H28&gt;Matches!I5:I28)*1)+SUMPRODUCT((Matches!K5:K28=X9)*(Matches!F5:F28=X10)*(Matches!I5:I28&gt;Matches!H5:H28)*1)+SUMPRODUCT((Matches!F5:F28=X9)*(Matches!K5:K28=X11)*(Matches!H5:H28&gt;Matches!I5:I28)*1)+SUMPRODUCT((Matches!K5:K28=X9)*(Matches!F5:F28=X11)*(Matches!I5:I28&gt;Matches!H5:H28)*1)</f>
        <v>0</v>
      </c>
      <c r="AM9" s="22">
        <f>SUMPRODUCT((Matches!F5:F28=X9)*(Matches!K5:K28=X10)*(Matches!H5:H28=Matches!I5:I28)*1)+SUMPRODUCT((Matches!K5:K28=X9)*(Matches!F5:F28=X10)*(Matches!H5:H28=Matches!I5:I28)*1)+SUMPRODUCT((Matches!F5:F28=X9)*(Matches!K5:K28=X11)*(Matches!H5:H28=Matches!I5:I28)*1)+SUMPRODUCT((Matches!K5:K28=X9)*(Matches!F5:F28=X11)*(Matches!H5:H28=Matches!I5:I28)*1)</f>
        <v>0</v>
      </c>
      <c r="AN9" s="22">
        <f>SUMPRODUCT((Matches!F5:F28=X9)*(Matches!K5:K28=X10)*(Matches!H5:H28&lt;Matches!I5:I28)*1)+SUMPRODUCT((Matches!K5:K28=X9)*(Matches!F5:F28=X10)*(Matches!I5:I28&lt;Matches!H5:H28)*1)+SUMPRODUCT((Matches!F5:F28=X9)*(Matches!K5:K28=X11)*(Matches!H5:H28&lt;Matches!I5:I28)*1)+SUMPRODUCT((Matches!K5:K28=X9)*(Matches!F5:F28=X11)*(Matches!I5:I28&lt;Matches!H5:H28)*1)</f>
        <v>0</v>
      </c>
      <c r="AO9" s="22">
        <f>SUMIFS(Matches!H5:H28,Matches!F5:F28,X9,Matches!K5:K28,X10)+SUMIFS(Matches!H5:H28,Matches!F5:F28,X9,Matches!K5:K28,X11)+SUMIFS(Matches!I5:I28,Matches!K5:K28,X9,Matches!F5:F28,X10)+SUMIFS(Matches!I5:I28,Matches!K5:K28,X9,Matches!F5:F28,X11)</f>
        <v>0</v>
      </c>
      <c r="AP9" s="22">
        <f>SUMIFS(Matches!I5:I28,Matches!F5:F28,X9,Matches!K5:K28,X10)+SUMIFS(Matches!I5:I28,Matches!F5:F28,X9,Matches!K5:K28,X11)+SUMIFS(Matches!H5:H28,Matches!K5:K28,X9,Matches!F5:F28,X10)+SUMIFS(Matches!H5:H28,Matches!K5:K28,X9,Matches!F5:F28,X11)</f>
        <v>0</v>
      </c>
      <c r="AQ9" s="22">
        <f t="shared" si="10"/>
        <v>0</v>
      </c>
      <c r="AR9" s="22">
        <f t="shared" si="11"/>
        <v>0</v>
      </c>
      <c r="AS9" s="22">
        <f t="shared" ref="AS9" si="32">IF(X9&lt;&gt;"",SUMPRODUCT((V8:V11=V9)*(AR8:AR11&gt;AR9)*1),0)</f>
        <v>0</v>
      </c>
      <c r="AT9" s="22">
        <f t="shared" ref="AT9" si="33">IF(X9&lt;&gt;"",SUMPRODUCT((AS8:AS11=AS9)*(AQ8:AQ11&gt;AQ9)*1),0)</f>
        <v>0</v>
      </c>
      <c r="AU9" s="22">
        <f t="shared" si="12"/>
        <v>0</v>
      </c>
      <c r="AV9" s="22">
        <f t="shared" ref="AV9" si="34">IF(X9&lt;&gt;"",SUMPRODUCT((AU8:AU11=AU9)*(AS8:AS11=AS9)*(AO8:AO11&gt;AO9)*1),0)</f>
        <v>0</v>
      </c>
      <c r="AW9" s="22">
        <f t="shared" si="13"/>
        <v>1</v>
      </c>
      <c r="AX9" s="22">
        <v>0</v>
      </c>
      <c r="AY9" s="22">
        <v>0</v>
      </c>
      <c r="AZ9" s="22">
        <v>0</v>
      </c>
      <c r="BA9" s="22">
        <v>0</v>
      </c>
      <c r="BB9" s="22">
        <v>0</v>
      </c>
      <c r="BC9" s="22">
        <v>0</v>
      </c>
      <c r="BD9" s="22">
        <v>0</v>
      </c>
      <c r="BE9" s="22">
        <v>0</v>
      </c>
      <c r="BF9" s="22">
        <v>0</v>
      </c>
      <c r="BG9" s="22">
        <v>0</v>
      </c>
      <c r="BH9" s="22">
        <v>0</v>
      </c>
      <c r="BI9" s="22">
        <f t="shared" si="17"/>
        <v>1</v>
      </c>
      <c r="BJ9" s="22">
        <f>SUMPRODUCT((BI8:BI11=BI9)*(A8:A11&gt;A9)*1)</f>
        <v>1</v>
      </c>
      <c r="BK9" s="22">
        <f t="shared" si="14"/>
        <v>2</v>
      </c>
      <c r="BM9" s="192"/>
      <c r="BN9" s="193"/>
      <c r="BO9" s="194" t="str">
        <f>Calculator!C6</f>
        <v>Chile</v>
      </c>
      <c r="BP9" s="195" t="s">
        <v>381</v>
      </c>
      <c r="BQ9" s="194"/>
      <c r="BR9" s="189">
        <v>3</v>
      </c>
      <c r="BS9" s="196">
        <v>-11</v>
      </c>
      <c r="BT9" s="22"/>
      <c r="BU9" s="10">
        <v>3</v>
      </c>
      <c r="BV9" s="197">
        <f t="shared" si="18"/>
        <v>45465.75</v>
      </c>
      <c r="BW9" s="198">
        <v>45465.75</v>
      </c>
      <c r="BX9" s="199">
        <f t="shared" si="19"/>
        <v>45465.75</v>
      </c>
      <c r="BZ9" s="189" t="str">
        <f>INDEX(Language!$A$1:$K$80,MATCH(Setup!B10,Language!$B$1:$B$80,0),MATCH(Setup!$C$5,Language!$A$1:$J$1,0))</f>
        <v>Chile</v>
      </c>
    </row>
    <row r="10" spans="1:78" x14ac:dyDescent="0.25">
      <c r="A10" s="22">
        <f>INDEX(M4:M35,MATCH(U10,C4:C35,0),0)</f>
        <v>1446</v>
      </c>
      <c r="B10" s="22">
        <f t="shared" si="25"/>
        <v>3</v>
      </c>
      <c r="C10" s="22" t="str">
        <f t="shared" si="1"/>
        <v>Venezuela</v>
      </c>
      <c r="D10" s="22">
        <f t="shared" si="2"/>
        <v>0</v>
      </c>
      <c r="E10" s="22">
        <f>SUMPRODUCT((Matches!H5:H28&lt;&gt;"")*(Matches!F5:F28=C10)*(Matches!H5:H28&gt;Matches!I5:I28)*1)+SUMPRODUCT((Matches!H5:H28&lt;&gt;"")*(Matches!K5:K28=C10)*(Matches!I5:I28&gt;Matches!H5:H28)*1)</f>
        <v>0</v>
      </c>
      <c r="F10" s="22">
        <f>SUMPRODUCT((Matches!H5:H28&lt;&gt;"")*(Matches!F5:F28=C10)*(Matches!H5:H28=Matches!I5:I28)*1)+SUMPRODUCT((Matches!H5:H28&lt;&gt;"")*(Matches!K5:K28=C10)*(Matches!H5:H28=Matches!I5:I28)*1)</f>
        <v>0</v>
      </c>
      <c r="G10" s="22">
        <f>SUMPRODUCT((Matches!H5:H28&lt;&gt;"")*(Matches!F5:F28=C10)*(Matches!H5:H28&lt;Matches!I5:I28)*1)+SUMPRODUCT((Matches!H5:H28&lt;&gt;"")*(Matches!K5:K28=C10)*(Matches!I5:I28&lt;Matches!H5:H28)*1)</f>
        <v>0</v>
      </c>
      <c r="H10" s="22">
        <f>SUMIF(Matches!F5:F28,C10,Matches!H5:H28)+SUMIF(Matches!K5:K28,C10,Matches!I5:I28)</f>
        <v>0</v>
      </c>
      <c r="I10" s="22">
        <f>SUMIF(Matches!F5:F28,C10,Matches!I5:I28)+SUMIF(Matches!K5:K28,C10,Matches!H5:H28)</f>
        <v>0</v>
      </c>
      <c r="J10" s="22">
        <f t="shared" si="3"/>
        <v>0</v>
      </c>
      <c r="K10" s="22">
        <f t="shared" si="4"/>
        <v>0</v>
      </c>
      <c r="L10" s="22">
        <f>Setup!E14</f>
        <v>1446</v>
      </c>
      <c r="M10" s="22">
        <f>IF(Setup!F14&lt;&gt;"",-Setup!F14,Setup!E14)</f>
        <v>1446</v>
      </c>
      <c r="N10" s="22">
        <f>RANK(K10,K8:K11)</f>
        <v>1</v>
      </c>
      <c r="O10" s="22">
        <f>SUMPRODUCT((N8:N11=N10)*(J8:J11&gt;J10)*1)</f>
        <v>0</v>
      </c>
      <c r="P10" s="22">
        <f t="shared" si="5"/>
        <v>1</v>
      </c>
      <c r="Q10" s="22">
        <f>SUMPRODUCT((N8:N11=N10)*(J8:J11=J10)*(H8:H11&gt;H10)*1)</f>
        <v>0</v>
      </c>
      <c r="R10" s="22">
        <f t="shared" si="6"/>
        <v>1</v>
      </c>
      <c r="S10" s="22">
        <f>RANK(R10,R8:R11,1)+COUNTIF(R8:R10,R10)-1</f>
        <v>3</v>
      </c>
      <c r="T10" s="22">
        <v>3</v>
      </c>
      <c r="U10" s="22" t="str">
        <f>INDEX(C8:C11,MATCH(T10,S8:S11,0),0)</f>
        <v>Venezuela</v>
      </c>
      <c r="V10" s="22">
        <f>INDEX(R8:R11,MATCH(U10,C8:C11,0),0)</f>
        <v>1</v>
      </c>
      <c r="W10" s="22" t="str">
        <f t="shared" ref="W10:W11" si="35">IF(AND(W9&lt;&gt;"",V10=1),U10,"")</f>
        <v>Venezuela</v>
      </c>
      <c r="X10" s="22" t="str">
        <f t="shared" ref="X10" si="36">IF(X9&lt;&gt;"",U10,"")</f>
        <v/>
      </c>
      <c r="Y10" s="22" t="str">
        <f t="shared" ref="Y10" si="37">IF(V11=3,U10,"")</f>
        <v/>
      </c>
      <c r="Z10" s="22">
        <f>SUMPRODUCT((Matches!F5:F28=W10)*(Matches!K5:K28=W8)*(Matches!H5:H28&gt;Matches!I5:I28)*1)+SUMPRODUCT((Matches!K5:K28=W10)*(Matches!F5:F28=W8)*(Matches!I5:I28&gt;Matches!H5:H28)*1)+SUMPRODUCT((Matches!F5:F28=W10)*(Matches!K5:K28=W9)*(Matches!H5:H28&gt;Matches!I5:I28)*1)+SUMPRODUCT((Matches!K5:K28=W10)*(Matches!F5:F28=W9)*(Matches!I5:I28&gt;Matches!H5:H28)*1)+SUMPRODUCT((Matches!F5:F28=W10)*(Matches!K5:K28=W11)*(Matches!H5:H28&gt;Matches!I5:I28)*1)+SUMPRODUCT((Matches!K5:K28=W10)*(Matches!F5:F28=W11)*(Matches!I5:I28&gt;Matches!H5:H28)*1)</f>
        <v>0</v>
      </c>
      <c r="AA10" s="22">
        <f>SUMPRODUCT((Matches!F5:F28=W10)*(Matches!K5:K28=W8)*(Matches!H5:H28=Matches!I5:I28)*1)+SUMPRODUCT((Matches!K5:K28=W10)*(Matches!F5:F28=W8)*(Matches!H5:H28=Matches!I5:I28)*1)+SUMPRODUCT((Matches!F5:F28=W10)*(Matches!K5:K28=W9)*(Matches!H5:H28=Matches!I5:I28)*1)+SUMPRODUCT((Matches!K5:K28=W10)*(Matches!F5:F28=W9)*(Matches!H5:H28=Matches!I5:I28)*1)+SUMPRODUCT((Matches!F5:F28=W10)*(Matches!K5:K28=W11)*(Matches!H5:H28=Matches!I5:I28)*1)+SUMPRODUCT((Matches!K5:K28=W10)*(Matches!F5:F28=W11)*(Matches!H5:H28=Matches!I5:I28)*1)</f>
        <v>3</v>
      </c>
      <c r="AB10" s="22">
        <f>SUMPRODUCT((Matches!F5:F28=W10)*(Matches!K5:K28=W8)*(Matches!H5:H28&lt;Matches!I5:I28)*1)+SUMPRODUCT((Matches!K5:K28=W10)*(Matches!F5:F28=W8)*(Matches!I5:I28&lt;Matches!H5:H28)*1)+SUMPRODUCT((Matches!F5:F28=W10)*(Matches!K5:K28=W9)*(Matches!H5:H28&lt;Matches!I5:I28)*1)+SUMPRODUCT((Matches!K5:K28=W10)*(Matches!F5:F28=W9)*(Matches!I5:I28&lt;Matches!H5:H28)*1)+SUMPRODUCT((Matches!F5:F28=W10)*(Matches!K5:K28=W11)*(Matches!H5:H28&lt;Matches!I5:I28)*1)+SUMPRODUCT((Matches!K5:K28=W10)*(Matches!F5:F28=W11)*(Matches!I5:I28&lt;Matches!H5:H28)*1)</f>
        <v>0</v>
      </c>
      <c r="AC10" s="22">
        <f>SUMIFS(Matches!H5:H28,Matches!F5:F28,W10,Matches!K5:K28,W8)+SUMIFS(Matches!H5:H28,Matches!F5:F28,W10,Matches!K5:K28,W9)+SUMIFS(Matches!H5:H28,Matches!F5:F28,W10,Matches!K5:K28,W11)+SUMIFS(Matches!I5:I28,Matches!K5:K28,W10,Matches!F5:F28,W8)+SUMIFS(Matches!I5:I28,Matches!K5:K28,W10,Matches!F5:F28,W9)+SUMIFS(Matches!I5:I28,Matches!K5:K28,W10,Matches!F5:F28,W11)</f>
        <v>0</v>
      </c>
      <c r="AD10" s="22">
        <f>SUMIFS(Matches!I5:I28,Matches!F5:F28,W10,Matches!K5:K28,W8)+SUMIFS(Matches!I5:I28,Matches!F5:F28,W10,Matches!K5:K28,W9)+SUMIFS(Matches!I5:I28,Matches!F5:F28,W10,Matches!K5:K28,W11)+SUMIFS(Matches!H5:H28,Matches!K5:K28,W10,Matches!F5:F28,W8)+SUMIFS(Matches!H5:H28,Matches!K5:K28,W10,Matches!F5:F28,W9)+SUMIFS(Matches!H5:H28,Matches!K5:K28,W10,Matches!F5:F28,W11)</f>
        <v>0</v>
      </c>
      <c r="AE10" s="22">
        <f t="shared" si="7"/>
        <v>0</v>
      </c>
      <c r="AF10" s="22">
        <f t="shared" si="8"/>
        <v>3</v>
      </c>
      <c r="AG10" s="22">
        <f t="shared" ref="AG10" si="38">IF(W10&lt;&gt;"",SUMPRODUCT((V8:V11=V10)*(AF8:AF11&gt;AF10)*1),0)</f>
        <v>0</v>
      </c>
      <c r="AH10" s="22">
        <f t="shared" ref="AH10" si="39">IF(W10&lt;&gt;"",SUMPRODUCT((AG8:AG11=AG10)*(AE8:AE11&gt;AE10)*1),0)</f>
        <v>0</v>
      </c>
      <c r="AI10" s="22">
        <f t="shared" si="0"/>
        <v>0</v>
      </c>
      <c r="AJ10" s="22">
        <f t="shared" ref="AJ10" si="40">IF(W10&lt;&gt;"",SUMPRODUCT((AI8:AI11=AI10)*(AG8:AG11=AG10)*(AC8:AC11&gt;AC10)*1),0)</f>
        <v>0</v>
      </c>
      <c r="AK10" s="22">
        <f t="shared" si="9"/>
        <v>1</v>
      </c>
      <c r="AL10" s="22">
        <f>SUMPRODUCT((Matches!F5:F28=X10)*(Matches!K5:K28=X9)*(Matches!H5:H28&gt;Matches!I5:I28)*1)+SUMPRODUCT((Matches!K5:K28=X10)*(Matches!F5:F28=X9)*(Matches!I5:I28&gt;Matches!H5:H28)*1)+SUMPRODUCT((Matches!F5:F28=X10)*(Matches!K5:K28=X11)*(Matches!H5:H28&gt;Matches!I5:I28)*1)+SUMPRODUCT((Matches!K5:K28=X10)*(Matches!F5:F28=X11)*(Matches!I5:I28&gt;Matches!H5:H28)*1)</f>
        <v>0</v>
      </c>
      <c r="AM10" s="22">
        <f>SUMPRODUCT((Matches!F5:F28=X10)*(Matches!K5:K28=X9)*(Matches!H5:H28=Matches!I5:I28)*1)+SUMPRODUCT((Matches!K5:K28=X10)*(Matches!F5:F28=X9)*(Matches!H5:H28=Matches!I5:I28)*1)+SUMPRODUCT((Matches!F5:F28=X10)*(Matches!K5:K28=X11)*(Matches!H5:H28=Matches!I5:I28)*1)+SUMPRODUCT((Matches!K5:K28=X10)*(Matches!F5:F28=X11)*(Matches!H5:H28=Matches!I5:I28)*1)</f>
        <v>0</v>
      </c>
      <c r="AN10" s="22">
        <f>SUMPRODUCT((Matches!F5:F28=X10)*(Matches!K5:K28=X9)*(Matches!H5:H28&lt;Matches!I5:I28)*1)+SUMPRODUCT((Matches!K5:K28=X10)*(Matches!F5:F28=X9)*(Matches!I5:I28&lt;Matches!H5:H28)*1)+SUMPRODUCT((Matches!F5:F28=X10)*(Matches!K5:K28=X11)*(Matches!H5:H28&lt;Matches!I5:I28)*1)+SUMPRODUCT((Matches!K5:K28=X10)*(Matches!F5:F28=X11)*(Matches!I5:I28&lt;Matches!H5:H28)*1)</f>
        <v>0</v>
      </c>
      <c r="AO10" s="22">
        <f>SUMIFS(Matches!H5:H28,Matches!F5:F28,X10,Matches!K5:K28,X9)+SUMIFS(Matches!H5:H28,Matches!F5:F28,X10,Matches!K5:K28,X11)+SUMIFS(Matches!I5:I28,Matches!K5:K28,X10,Matches!F5:F28,X9)+SUMIFS(Matches!I5:I28,Matches!K5:K28,X10,Matches!F5:F28,X11)</f>
        <v>0</v>
      </c>
      <c r="AP10" s="22">
        <f>SUMIFS(Matches!I5:I28,Matches!F5:F28,X10,Matches!K5:K28,X9)+SUMIFS(Matches!I5:I28,Matches!F5:F28,X10,Matches!K5:K28,X11)+SUMIFS(Matches!H5:H28,Matches!K5:K28,X10,Matches!F5:F28,X9)+SUMIFS(Matches!H5:H28,Matches!K5:K28,X10,Matches!F5:F28,X11)</f>
        <v>0</v>
      </c>
      <c r="AQ10" s="22">
        <f t="shared" si="10"/>
        <v>0</v>
      </c>
      <c r="AR10" s="22">
        <f t="shared" si="11"/>
        <v>0</v>
      </c>
      <c r="AS10" s="22">
        <f t="shared" ref="AS10" si="41">IF(X10&lt;&gt;"",SUMPRODUCT((V8:V11=V10)*(AR8:AR11&gt;AR10)*1),0)</f>
        <v>0</v>
      </c>
      <c r="AT10" s="22">
        <f t="shared" ref="AT10" si="42">IF(X10&lt;&gt;"",SUMPRODUCT((AS8:AS11=AS10)*(AQ8:AQ11&gt;AQ10)*1),0)</f>
        <v>0</v>
      </c>
      <c r="AU10" s="22">
        <f t="shared" si="12"/>
        <v>0</v>
      </c>
      <c r="AV10" s="22">
        <f t="shared" ref="AV10" si="43">IF(X10&lt;&gt;"",SUMPRODUCT((AU8:AU11=AU10)*(AS8:AS11=AS10)*(AO8:AO11&gt;AO10)*1),0)</f>
        <v>0</v>
      </c>
      <c r="AW10" s="22">
        <f t="shared" si="13"/>
        <v>1</v>
      </c>
      <c r="AX10" s="22">
        <f>SUMPRODUCT((Matches!F5:F28=Y10)*(Matches!K5:K28=Y11)*(Matches!H5:H28&gt;Matches!I5:I28)*1)+SUMPRODUCT((Matches!K5:K28=Y10)*(Matches!F5:F28=Y11)*(Matches!I5:I28&gt;Matches!H5:H28)*1)</f>
        <v>0</v>
      </c>
      <c r="AY10" s="22">
        <f>SUMPRODUCT((Matches!F5:F28=Y10)*(Matches!K5:K28=Y11)*(Matches!H5:H28=Matches!I5:I28)*1)+SUMPRODUCT((Matches!K5:K28=Y10)*(Matches!F5:F28=Y11)*(Matches!I5:I28=Matches!H5:H28)*1)</f>
        <v>0</v>
      </c>
      <c r="AZ10" s="22">
        <f>SUMPRODUCT((Matches!F5:F28=Y10)*(Matches!K5:K28=Y11)*(Matches!H5:H28&lt;Matches!I5:I28)*1)+SUMPRODUCT((Matches!K5:K28=Y10)*(Matches!F5:F28=Y11)*(Matches!I5:I28&lt;Matches!H5:H28)*1)</f>
        <v>0</v>
      </c>
      <c r="BA10" s="22">
        <f>SUMIFS(Matches!H5:H28,Matches!F5:F28,Y10,Matches!K5:K28,Y11)+SUMIFS(Matches!I5:I28,Matches!K5:K28,Y10,Matches!F5:F28,Y11)</f>
        <v>0</v>
      </c>
      <c r="BB10" s="22">
        <f>SUMIFS(Matches!I5:I28,Matches!F5:F28,Y10,Matches!K5:K28,Y11)+SUMIFS(Matches!H5:H28,Matches!K5:K28,Y10,Matches!F5:F28,Y11)</f>
        <v>0</v>
      </c>
      <c r="BC10" s="22">
        <f t="shared" ref="BC10:BC11" si="44">BA10-BB10</f>
        <v>0</v>
      </c>
      <c r="BD10" s="22">
        <f t="shared" ref="BD10:BD11" si="45">AY10*1+AX10*3</f>
        <v>0</v>
      </c>
      <c r="BE10" s="22">
        <f t="shared" ref="BE10" si="46">IF(Y10&lt;&gt;"",SUMPRODUCT((AH8:AH11=AH10)*(BD8:BD11&gt;BD10)*1),0)</f>
        <v>0</v>
      </c>
      <c r="BF10" s="22">
        <f t="shared" ref="BF10" si="47">IF(Y10&lt;&gt;"",SUMPRODUCT((BE8:BE11=BE10)*(BC8:BC11&gt;BC10)*1),0)</f>
        <v>0</v>
      </c>
      <c r="BG10" s="22">
        <f t="shared" ref="BG10:BG11" si="48">BE10+BF10</f>
        <v>0</v>
      </c>
      <c r="BH10" s="22">
        <f t="shared" ref="BH10" si="49">IF(Y10&lt;&gt;"",SUMPRODUCT((BG8:BG11=BG10)*(BE8:BE11=BE10)*(BA8:BA11&gt;BA10)*1),0)</f>
        <v>0</v>
      </c>
      <c r="BI10" s="22">
        <f t="shared" si="17"/>
        <v>1</v>
      </c>
      <c r="BJ10" s="22">
        <f>SUMPRODUCT((BI8:BI11=BI10)*(A8:A11&gt;A10)*1)</f>
        <v>2</v>
      </c>
      <c r="BK10" s="22">
        <f t="shared" si="14"/>
        <v>3</v>
      </c>
      <c r="BM10" s="192"/>
      <c r="BN10" s="193"/>
      <c r="BO10" s="194" t="str">
        <f>Calculator!C7</f>
        <v>Canada</v>
      </c>
      <c r="BP10" s="195" t="s">
        <v>382</v>
      </c>
      <c r="BQ10" s="194"/>
      <c r="BR10" s="189">
        <v>4</v>
      </c>
      <c r="BS10" s="196">
        <v>-10.5</v>
      </c>
      <c r="BT10" s="22"/>
      <c r="BU10" s="10">
        <v>4</v>
      </c>
      <c r="BV10" s="197">
        <f t="shared" si="18"/>
        <v>45465.791666666664</v>
      </c>
      <c r="BW10" s="198">
        <v>45465.791666666664</v>
      </c>
      <c r="BX10" s="199">
        <f t="shared" si="19"/>
        <v>45465.791666666664</v>
      </c>
      <c r="BZ10" s="189" t="str">
        <f>INDEX(Language!$A$1:$K$80,MATCH(Setup!B11,Language!$B$1:$B$80,0),MATCH(Setup!$C$5,Language!$A$1:$J$1,0))</f>
        <v>Canada</v>
      </c>
    </row>
    <row r="11" spans="1:78" ht="16.5" x14ac:dyDescent="0.25">
      <c r="A11" s="22">
        <f>INDEX(M4:M35,MATCH(U11,C4:C35,0),0)</f>
        <v>1422</v>
      </c>
      <c r="B11" s="22">
        <f t="shared" si="25"/>
        <v>4</v>
      </c>
      <c r="C11" s="22" t="str">
        <f t="shared" si="1"/>
        <v>Jamaica</v>
      </c>
      <c r="D11" s="22">
        <f t="shared" si="2"/>
        <v>0</v>
      </c>
      <c r="E11" s="22">
        <f>SUMPRODUCT((Matches!H5:H28&lt;&gt;"")*(Matches!F5:F28=C11)*(Matches!H5:H28&gt;Matches!I5:I28)*1)+SUMPRODUCT((Matches!H5:H28&lt;&gt;"")*(Matches!K5:K28=C11)*(Matches!I5:I28&gt;Matches!H5:H28)*1)</f>
        <v>0</v>
      </c>
      <c r="F11" s="22">
        <f>SUMPRODUCT((Matches!H5:H28&lt;&gt;"")*(Matches!F5:F28=C11)*(Matches!H5:H28=Matches!I5:I28)*1)+SUMPRODUCT((Matches!H5:H28&lt;&gt;"")*(Matches!K5:K28=C11)*(Matches!H5:H28=Matches!I5:I28)*1)</f>
        <v>0</v>
      </c>
      <c r="G11" s="22">
        <f>SUMPRODUCT((Matches!H5:H28&lt;&gt;"")*(Matches!F5:F28=C11)*(Matches!H5:H28&lt;Matches!I5:I28)*1)+SUMPRODUCT((Matches!H5:H28&lt;&gt;"")*(Matches!K5:K28=C11)*(Matches!I5:I28&lt;Matches!H5:H28)*1)</f>
        <v>0</v>
      </c>
      <c r="H11" s="22">
        <f>SUMIF(Matches!F5:F28,C11,Matches!H5:H28)+SUMIF(Matches!K5:K28,C11,Matches!I5:I28)</f>
        <v>0</v>
      </c>
      <c r="I11" s="22">
        <f>SUMIF(Matches!F5:F28,C11,Matches!I5:I28)+SUMIF(Matches!K5:K28,C11,Matches!H5:H28)</f>
        <v>0</v>
      </c>
      <c r="J11" s="22">
        <f t="shared" si="3"/>
        <v>0</v>
      </c>
      <c r="K11" s="22">
        <f t="shared" si="4"/>
        <v>0</v>
      </c>
      <c r="L11" s="22">
        <f>Setup!E15</f>
        <v>1422</v>
      </c>
      <c r="M11" s="22">
        <f>IF(Setup!F15&lt;&gt;"",-Setup!F15,Setup!E15)</f>
        <v>1422</v>
      </c>
      <c r="N11" s="22">
        <f>RANK(K11,K8:K11)</f>
        <v>1</v>
      </c>
      <c r="O11" s="22">
        <f>SUMPRODUCT((N8:N11=N11)*(J8:J11&gt;J11)*1)</f>
        <v>0</v>
      </c>
      <c r="P11" s="22">
        <f t="shared" si="5"/>
        <v>1</v>
      </c>
      <c r="Q11" s="22">
        <f>SUMPRODUCT((N8:N11=N11)*(J8:J11=J11)*(H8:H11&gt;H11)*1)</f>
        <v>0</v>
      </c>
      <c r="R11" s="22">
        <f t="shared" si="6"/>
        <v>1</v>
      </c>
      <c r="S11" s="22">
        <f>RANK(R11,R8:R11,1)+COUNTIF(R8:R11,R11)-1</f>
        <v>4</v>
      </c>
      <c r="T11" s="22">
        <v>4</v>
      </c>
      <c r="U11" s="22" t="str">
        <f t="shared" ref="U11" si="50">INDEX(C8:C11,MATCH(T11,S8:S11,0),0)</f>
        <v>Jamaica</v>
      </c>
      <c r="V11" s="22">
        <f>INDEX(R8:R11,MATCH(U11,C8:C11,0),0)</f>
        <v>1</v>
      </c>
      <c r="W11" s="22" t="str">
        <f t="shared" si="35"/>
        <v>Jamaica</v>
      </c>
      <c r="X11" s="22" t="str">
        <f t="shared" ref="X11" si="51">IF(AND(X10&lt;&gt;"",V11=2),U11,"")</f>
        <v/>
      </c>
      <c r="Y11" s="22" t="str">
        <f t="shared" ref="Y11" si="52">IF(AND(Y10&lt;&gt;"",V11=3),U11,"")</f>
        <v/>
      </c>
      <c r="Z11" s="22">
        <f>SUMPRODUCT((Matches!F5:F28=W11)*(Matches!K5:K28=W8)*(Matches!H5:H28&gt;Matches!I5:I28)*1)+SUMPRODUCT((Matches!K5:K28=W11)*(Matches!F5:F28=W8)*(Matches!I5:I28&gt;Matches!H5:H28)*1)+SUMPRODUCT((Matches!F5:F28=W11)*(Matches!K5:K28=W9)*(Matches!H5:H28&gt;Matches!I5:I28)*1)+SUMPRODUCT((Matches!K5:K28=W11)*(Matches!F5:F28=W9)*(Matches!I5:I28&gt;Matches!H5:H28)*1)+SUMPRODUCT((Matches!F5:F28=W11)*(Matches!K5:K28=W10)*(Matches!H5:H28&gt;Matches!I5:I28)*1)+SUMPRODUCT((Matches!K5:K28=W11)*(Matches!F5:F28=W10)*(Matches!I5:I28&gt;Matches!H5:H28)*1)</f>
        <v>0</v>
      </c>
      <c r="AA11" s="22">
        <f>SUMPRODUCT((Matches!F5:F28=W11)*(Matches!K5:K28=W8)*(Matches!H5:H28&gt;=Matches!I5:I28)*1)+SUMPRODUCT((Matches!K5:K28=W11)*(Matches!F5:F28=W8)*(Matches!H5:H28=Matches!I5:I28)*1)+SUMPRODUCT((Matches!F5:F28=W11)*(Matches!K5:K28=W9)*(Matches!H5:H28=Matches!I5:I28)*1)+SUMPRODUCT((Matches!K5:K28=W11)*(Matches!F5:F28=W9)*(Matches!H5:H28=Matches!I5:I28)*1)+SUMPRODUCT((Matches!F5:F28=W11)*(Matches!K5:K28=W10)*(Matches!H5:H28=Matches!I5:I28)*1)+SUMPRODUCT((Matches!K5:K28=W11)*(Matches!F5:F28=W10)*(Matches!H5:H28=Matches!I5:I28)*1)</f>
        <v>3</v>
      </c>
      <c r="AB11" s="22">
        <f>SUMPRODUCT((Matches!F5:F28=W11)*(Matches!K5:K28=W8)*(Matches!H5:H28&lt;Matches!I5:I28)*1)+SUMPRODUCT((Matches!K5:K28=W11)*(Matches!F5:F28=W8)*(Matches!I5:I28&lt;Matches!H5:H28)*1)+SUMPRODUCT((Matches!F5:F28=W11)*(Matches!K5:K28=W9)*(Matches!H5:H28&lt;Matches!I5:I28)*1)+SUMPRODUCT((Matches!K5:K28=W11)*(Matches!F5:F28=W9)*(Matches!I5:I28&lt;Matches!H5:H28)*1)+SUMPRODUCT((Matches!F5:F28=W11)*(Matches!K5:K28=W10)*(Matches!H5:H28&lt;Matches!I5:I28)*1)+SUMPRODUCT((Matches!K5:K28=W11)*(Matches!F5:F28=W10)*(Matches!I5:I28&lt;Matches!H5:H28)*1)</f>
        <v>0</v>
      </c>
      <c r="AC11" s="22">
        <f>SUMIFS(Matches!H5:H28,Matches!F5:F28,W11,Matches!K5:K28,W8)+SUMIFS(Matches!H5:H28,Matches!F5:F28,W11,Matches!K5:K28,W9)+SUMIFS(Matches!H5:H28,Matches!F5:F28,W11,Matches!K5:K28,W10)+SUMIFS(Matches!I5:I28,Matches!K5:K28,W11,Matches!F5:F28,W8)+SUMIFS(Matches!I5:I28,Matches!K5:K28,W11,Matches!F5:F28,W9)+SUMIFS(Matches!I5:I28,Matches!K5:K28,W11,Matches!F5:F28,W10)</f>
        <v>0</v>
      </c>
      <c r="AD11" s="22">
        <f>SUMIFS(Matches!I5:I28,Matches!F5:F28,W11,Matches!K5:K28,W8)+SUMIFS(Matches!I5:I28,Matches!F5:F28,W11,Matches!K5:K28,W9)+SUMIFS(Matches!I5:I28,Matches!F5:F28,W11,Matches!K5:K28,W10)+SUMIFS(Matches!H5:H28,Matches!K5:K28,W11,Matches!F5:F28,W8)+SUMIFS(Matches!H5:H28,Matches!K5:K28,W11,Matches!F5:F28,W9)+SUMIFS(Matches!H5:H28,Matches!K5:K28,W11,Matches!F5:F28,W10)</f>
        <v>0</v>
      </c>
      <c r="AE11" s="22">
        <f t="shared" si="7"/>
        <v>0</v>
      </c>
      <c r="AF11" s="22">
        <f t="shared" si="8"/>
        <v>3</v>
      </c>
      <c r="AG11" s="22">
        <f t="shared" ref="AG11" si="53">IF(W11&lt;&gt;"",SUMPRODUCT((V8:V11=V11)*(AF8:AF11&gt;AF11)*1),0)</f>
        <v>0</v>
      </c>
      <c r="AH11" s="22">
        <f t="shared" ref="AH11" si="54">IF(W11&lt;&gt;"",SUMPRODUCT((AG8:AG11=AG11)*(AE8:AE11&gt;AE11)*1),0)</f>
        <v>0</v>
      </c>
      <c r="AI11" s="22">
        <f t="shared" si="0"/>
        <v>0</v>
      </c>
      <c r="AJ11" s="22">
        <f t="shared" ref="AJ11" si="55">IF(W11&lt;&gt;"",SUMPRODUCT((AI8:AI11=AI11)*(AG8:AG11=AG11)*(AC8:AC11&gt;AC11)*1),0)</f>
        <v>0</v>
      </c>
      <c r="AK11" s="22">
        <f t="shared" si="9"/>
        <v>1</v>
      </c>
      <c r="AL11" s="22">
        <f>SUMPRODUCT((Matches!F5:F28=X11)*(Matches!K5:K28=X9)*(Matches!H5:H28&gt;Matches!I5:I28)*1)+SUMPRODUCT((Matches!K5:K28=X11)*(Matches!F5:F28=X9)*(Matches!I5:I28&gt;Matches!H5:H28)*1)+SUMPRODUCT((Matches!F5:F28=X11)*(Matches!K5:K28=X10)*(Matches!H5:H28&gt;Matches!I5:I28)*1)+SUMPRODUCT((Matches!K5:K28=X11)*(Matches!F5:F28=X10)*(Matches!I5:I28&gt;Matches!H5:H28)*1)</f>
        <v>0</v>
      </c>
      <c r="AM11" s="22">
        <f>SUMPRODUCT((Matches!F5:F28=X11)*(Matches!K5:K28=X9)*(Matches!H5:H28=Matches!I5:I28)*1)+SUMPRODUCT((Matches!K5:K28=X11)*(Matches!F5:F28=X9)*(Matches!H5:H28=Matches!I5:I28)*1)+SUMPRODUCT((Matches!F5:F28=X11)*(Matches!K5:K28=X10)*(Matches!H5:H28=Matches!I5:I28)*1)+SUMPRODUCT((Matches!K5:K28=X11)*(Matches!F5:F28=X10)*(Matches!H5:H28=Matches!I5:I28)*1)</f>
        <v>0</v>
      </c>
      <c r="AN11" s="22">
        <f>SUMPRODUCT((Matches!F5:F28=X11)*(Matches!K5:K28=X9)*(Matches!H5:H28&lt;Matches!I5:I28)*1)+SUMPRODUCT((Matches!K5:K28=X11)*(Matches!F5:F28=X9)*(Matches!I5:I28&lt;Matches!H5:H28)*1)+SUMPRODUCT((Matches!F5:F28=X11)*(Matches!K5:K28=X10)*(Matches!H5:H28&lt;Matches!I5:I28)*1)+SUMPRODUCT((Matches!K5:K28=X11)*(Matches!F5:F28=X10)*(Matches!I5:I28&lt;Matches!H5:H28)*1)</f>
        <v>0</v>
      </c>
      <c r="AO11" s="22">
        <f>SUMIFS(Matches!H5:H28,Matches!F5:F28,X11,Matches!K5:K28,X9)+SUMIFS(Matches!H5:H28,Matches!F5:F28,X11,Matches!K5:K28,X10)+SUMIFS(Matches!I5:I28,Matches!K5:K28,X11,Matches!F5:F28,X9)+SUMIFS(Matches!I5:I28,Matches!K5:K28,X11,Matches!F5:F28,X10)</f>
        <v>0</v>
      </c>
      <c r="AP11" s="22">
        <f>SUMIFS(Matches!H5:H28,Matches!F5:F28,X11,Matches!K5:K28,X9)+SUMIFS(Matches!H5:H28,Matches!F5:F28,X11,Matches!K5:K28,X10)+SUMIFS(Matches!I5:I28,Matches!K5:K28,X11,Matches!F5:F28,X9)+SUMIFS(Matches!I5:I28,Matches!K5:K28,X11,Matches!F5:F28,X10)</f>
        <v>0</v>
      </c>
      <c r="AQ11" s="22">
        <f t="shared" si="10"/>
        <v>0</v>
      </c>
      <c r="AR11" s="22">
        <f t="shared" si="11"/>
        <v>0</v>
      </c>
      <c r="AS11" s="22">
        <f t="shared" ref="AS11" si="56">IF(X11&lt;&gt;"",SUMPRODUCT((V8:V11=V11)*(AR8:AR11&gt;AR11)*1),0)</f>
        <v>0</v>
      </c>
      <c r="AT11" s="22">
        <f t="shared" ref="AT11" si="57">IF(X11&lt;&gt;"",SUMPRODUCT((AS8:AS11=AS11)*(AQ8:AQ11&gt;AQ11)*1),0)</f>
        <v>0</v>
      </c>
      <c r="AU11" s="22">
        <f t="shared" si="12"/>
        <v>0</v>
      </c>
      <c r="AV11" s="22">
        <f t="shared" ref="AV11" si="58">IF(X11&lt;&gt;"",SUMPRODUCT((AU8:AU11=AU11)*(AS8:AS11=AS11)*(AO8:AO11&gt;AO11)*1),0)</f>
        <v>0</v>
      </c>
      <c r="AW11" s="22">
        <f t="shared" si="13"/>
        <v>1</v>
      </c>
      <c r="AX11" s="22">
        <f>SUMPRODUCT((Matches!F5:F28=Y11)*(Matches!K5:K28=Y10)*(Matches!H5:H28&gt;Matches!I5:I28)*1)+SUMPRODUCT((Matches!K5:K28=Y11)*(Matches!F5:F28=Y10)*(Matches!I5:I28&gt;Matches!H5:H28)*1)</f>
        <v>0</v>
      </c>
      <c r="AY11" s="22">
        <f>SUMPRODUCT((Matches!F5:F28=Y11)*(Matches!K5:K28=Y10)*(Matches!H5:H28=Matches!I5:I28)*1)+SUMPRODUCT((Matches!K5:K28=Y11)*(Matches!F5:F28=Y10)*(Matches!I5:I28=Matches!H5:H28)*1)</f>
        <v>0</v>
      </c>
      <c r="AZ11" s="22">
        <f>SUMPRODUCT((Matches!F5:F28=Y11)*(Matches!K5:K28=Y10)*(Matches!H5:H28&lt;Matches!I5:I28)*1)+SUMPRODUCT((Matches!K5:K28=Y11)*(Matches!F5:F28=Y10)*(Matches!I5:I28&lt;Matches!H5:H28)*1)</f>
        <v>0</v>
      </c>
      <c r="BA11" s="22">
        <f>SUMIFS(Matches!H5:H28,Matches!F5:F28,Y11,Matches!K5:K28,Y10)+SUMIFS(Matches!I5:I28,Matches!K5:K28,Y11,Matches!F5:F28,Y10)</f>
        <v>0</v>
      </c>
      <c r="BB11" s="22">
        <f>SUMIFS(Matches!H5:H28,Matches!F5:F28,Y11,Matches!K5:K28,Y10)+SUMIFS(Matches!I5:I28,Matches!K5:K28,Y11,Matches!F5:F28,Y10)</f>
        <v>0</v>
      </c>
      <c r="BC11" s="22">
        <f t="shared" si="44"/>
        <v>0</v>
      </c>
      <c r="BD11" s="22">
        <f t="shared" si="45"/>
        <v>0</v>
      </c>
      <c r="BE11" s="22">
        <f t="shared" ref="BE11" si="59">IF(Y11&lt;&gt;"",SUMPRODUCT((AH8:AH11=AH11)*(BD8:BD11&gt;BD11)*1),0)</f>
        <v>0</v>
      </c>
      <c r="BF11" s="22">
        <f t="shared" ref="BF11" si="60">IF(Y11&lt;&gt;"",SUMPRODUCT((BE8:BE11=BE11)*(BC8:BC11&gt;BC11)*1),0)</f>
        <v>0</v>
      </c>
      <c r="BG11" s="22">
        <f t="shared" si="48"/>
        <v>0</v>
      </c>
      <c r="BH11" s="22">
        <f t="shared" ref="BH11" si="61">IF(Y11&lt;&gt;"",SUMPRODUCT((BG8:BG11=BG11)*(BE8:BE11=BE11)*(BA8:BA11&gt;BA11)*1),0)</f>
        <v>0</v>
      </c>
      <c r="BI11" s="22">
        <f t="shared" si="17"/>
        <v>1</v>
      </c>
      <c r="BJ11" s="22">
        <f>SUMPRODUCT((BI8:BI11=BI11)*(A8:A11&gt;A11)*1)</f>
        <v>3</v>
      </c>
      <c r="BK11" s="22">
        <f t="shared" si="14"/>
        <v>4</v>
      </c>
      <c r="BM11" s="192" t="s">
        <v>61</v>
      </c>
      <c r="BN11" s="193"/>
      <c r="BO11" s="194" t="str">
        <f>Calculator!C8</f>
        <v>Mexico</v>
      </c>
      <c r="BP11" s="195" t="s">
        <v>383</v>
      </c>
      <c r="BQ11" s="194"/>
      <c r="BR11" s="189">
        <v>5</v>
      </c>
      <c r="BS11" s="196">
        <v>-10</v>
      </c>
      <c r="BT11" s="22"/>
      <c r="BU11" s="10">
        <v>5</v>
      </c>
      <c r="BV11" s="197">
        <f t="shared" si="18"/>
        <v>45466.75</v>
      </c>
      <c r="BW11" s="198">
        <v>45466.75</v>
      </c>
      <c r="BX11" s="199">
        <f t="shared" si="19"/>
        <v>45466.75</v>
      </c>
      <c r="BZ11" s="189" t="str">
        <f>INDEX(Language!$A$1:$K$80,MATCH(Setup!B12,Language!$B$1:$B$80,0),MATCH(Setup!$C$5,Language!$A$1:$J$1,0))</f>
        <v>Mexico</v>
      </c>
    </row>
    <row r="12" spans="1:78" x14ac:dyDescent="0.25">
      <c r="A12" s="22">
        <f>INDEX(M4:M35,MATCH(U12,C4:C35,0),0)</f>
        <v>1676</v>
      </c>
      <c r="B12" s="22">
        <f t="shared" si="25"/>
        <v>1</v>
      </c>
      <c r="C12" s="22" t="str">
        <f t="shared" si="1"/>
        <v>United States</v>
      </c>
      <c r="D12" s="22">
        <f t="shared" si="2"/>
        <v>0</v>
      </c>
      <c r="E12" s="22">
        <f>SUMPRODUCT((Matches!H5:H28&lt;&gt;"")*(Matches!F5:F28=C12)*(Matches!H5:H28&gt;Matches!I5:I28)*1)+SUMPRODUCT((Matches!H5:H28&lt;&gt;"")*(Matches!K5:K28=C12)*(Matches!I5:I28&gt;Matches!H5:H28)*1)</f>
        <v>0</v>
      </c>
      <c r="F12" s="22">
        <f>SUMPRODUCT((Matches!H5:H28&lt;&gt;"")*(Matches!F5:F28=C12)*(Matches!H5:H28=Matches!I5:I28)*1)+SUMPRODUCT((Matches!H5:H28&lt;&gt;"")*(Matches!K5:K28=C12)*(Matches!H5:H28=Matches!I5:I28)*1)</f>
        <v>0</v>
      </c>
      <c r="G12" s="22">
        <f>SUMPRODUCT((Matches!H5:H28&lt;&gt;"")*(Matches!F5:F28=C12)*(Matches!H5:H28&lt;Matches!I5:I28)*1)+SUMPRODUCT((Matches!H5:H28&lt;&gt;"")*(Matches!K5:K28=C12)*(Matches!I5:I28&lt;Matches!H5:H28)*1)</f>
        <v>0</v>
      </c>
      <c r="H12" s="22">
        <f>SUMIF(Matches!F5:F28,C12,Matches!H5:H28)+SUMIF(Matches!K5:K28,C12,Matches!I5:I28)</f>
        <v>0</v>
      </c>
      <c r="I12" s="22">
        <f>SUMIF(Matches!F5:F28,C12,Matches!I5:I28)+SUMIF(Matches!K5:K28,C12,Matches!H5:H28)</f>
        <v>0</v>
      </c>
      <c r="J12" s="22">
        <f t="shared" si="3"/>
        <v>0</v>
      </c>
      <c r="K12" s="22">
        <f t="shared" si="4"/>
        <v>0</v>
      </c>
      <c r="L12" s="22">
        <f>Setup!E16</f>
        <v>1676</v>
      </c>
      <c r="M12" s="22">
        <f>IF(Setup!F16&lt;&gt;"",-Setup!F16,Setup!E16)</f>
        <v>1676</v>
      </c>
      <c r="N12" s="22">
        <f>RANK(K12,K12:K15)</f>
        <v>1</v>
      </c>
      <c r="O12" s="22">
        <f>SUMPRODUCT((N12:N15=N12)*(J12:J15&gt;J12)*1)</f>
        <v>0</v>
      </c>
      <c r="P12" s="22">
        <f t="shared" si="5"/>
        <v>1</v>
      </c>
      <c r="Q12" s="22">
        <f>SUMPRODUCT((N12:N15=N12)*(J12:J15=J12)*(H12:H15&gt;H12)*1)</f>
        <v>0</v>
      </c>
      <c r="R12" s="22">
        <f t="shared" si="6"/>
        <v>1</v>
      </c>
      <c r="S12" s="22">
        <f>RANK(R12,R12:R15,1)+COUNTIF(R12:R12,R12)-1</f>
        <v>1</v>
      </c>
      <c r="T12" s="22">
        <v>1</v>
      </c>
      <c r="U12" s="22" t="str">
        <f t="shared" ref="U12" si="62">INDEX(C12:C15,MATCH(T12,S12:S15,0),0)</f>
        <v>United States</v>
      </c>
      <c r="V12" s="22">
        <f>INDEX(R12:R15,MATCH(U12,C12:C15,0),0)</f>
        <v>1</v>
      </c>
      <c r="W12" s="22" t="str">
        <f t="shared" ref="W12" si="63">IF(V13=1,U12,"")</f>
        <v>United States</v>
      </c>
      <c r="Z12" s="22">
        <f>SUMPRODUCT((Matches!F5:F28=W12)*(Matches!K5:K28=W13)*(Matches!H5:H28&gt;Matches!I5:I28)*1)+SUMPRODUCT((Matches!K5:K28=W12)*(Matches!F5:F28=W13)*(Matches!I5:I28&gt;Matches!H5:H28)*1)+SUMPRODUCT((Matches!F5:F28=W12)*(Matches!K5:K28=W14)*(Matches!H5:H28&gt;Matches!I5:I28)*1)+SUMPRODUCT((Matches!K5:K28=W12)*(Matches!F5:F28=W14)*(Matches!I5:I28&gt;Matches!H5:H28)*1)+SUMPRODUCT((Matches!F5:F28=W12)*(Matches!K5:K28=W15)*(Matches!H5:H28&gt;Matches!I5:I28)*1)+SUMPRODUCT((Matches!K5:K28=W12)*(Matches!F5:F28=W15)*(Matches!I5:I28&gt;Matches!H5:H28)*1)</f>
        <v>0</v>
      </c>
      <c r="AA12" s="22">
        <f>SUMPRODUCT((Matches!F5:F28=W12)*(Matches!K5:K28=W13)*(Matches!H5:H28=Matches!I5:I28)*1)+SUMPRODUCT((Matches!K5:K28=W12)*(Matches!F5:F28=W13)*(Matches!H5:H28=Matches!I5:I28)*1)+SUMPRODUCT((Matches!F5:F28=W12)*(Matches!K5:K28=W14)*(Matches!H5:H28=Matches!I5:I28)*1)+SUMPRODUCT((Matches!K5:K28=W12)*(Matches!F5:F28=W14)*(Matches!H5:H28=Matches!I5:I28)*1)+SUMPRODUCT((Matches!F5:F28=W12)*(Matches!K5:K28=W15)*(Matches!H5:H28=Matches!I5:I28)*1)+SUMPRODUCT((Matches!K5:K28=W12)*(Matches!F5:F28=W15)*(Matches!H5:H28=Matches!I5:I28)*1)</f>
        <v>3</v>
      </c>
      <c r="AB12" s="22">
        <f>SUMPRODUCT((Matches!F5:F28=W12)*(Matches!K5:K28=W13)*(Matches!H5:H28&lt;Matches!I5:I28)*1)+SUMPRODUCT((Matches!K5:K28=W12)*(Matches!F5:F28=W13)*(Matches!I5:I28&lt;Matches!H5:H28)*1)+SUMPRODUCT((Matches!F5:F28=W12)*(Matches!K5:K28=W14)*(Matches!H5:H28&lt;Matches!I5:I28)*1)+SUMPRODUCT((Matches!K5:K28=W12)*(Matches!F5:F28=W14)*(Matches!I5:I28&lt;Matches!H5:H28)*1)+SUMPRODUCT((Matches!F5:F28=W12)*(Matches!K5:K28=W15)*(Matches!H5:H28&lt;Matches!I5:I28)*1)+SUMPRODUCT((Matches!K5:K28=W12)*(Matches!F5:F28=W15)*(Matches!I5:I28&lt;Matches!H5:H28)*1)</f>
        <v>0</v>
      </c>
      <c r="AC12" s="22">
        <f>SUMIFS(Matches!H5:H28,Matches!F5:F28,W12,Matches!K5:K28,W13)+SUMIFS(Matches!H5:H28,Matches!F5:F28,W12,Matches!K5:K28,W14)+SUMIFS(Matches!H5:H28,Matches!F5:F28,W12,Matches!K5:K28,W15)+SUMIFS(Matches!I5:I28,Matches!K5:K28,W12,Matches!F5:F28,W13)+SUMIFS(Matches!I5:I28,Matches!K5:K28,W12,Matches!F5:F28,W14)+SUMIFS(Matches!I5:I28,Matches!K5:K28,W12,Matches!F5:F28,W15)</f>
        <v>0</v>
      </c>
      <c r="AD12" s="22">
        <f>SUMIFS(Matches!I5:I28,Matches!F5:F28,W12,Matches!K5:K28,W13)+SUMIFS(Matches!I5:I28,Matches!F5:F28,W12,Matches!K5:K28,W14)+SUMIFS(Matches!I5:I28,Matches!F5:F28,W12,Matches!K5:K28,W15)+SUMIFS(Matches!H5:H28,Matches!K5:K28,W12,Matches!F5:F28,W13)+SUMIFS(Matches!H5:H28,Matches!K5:K28,W12,Matches!F5:F28,W14)+SUMIFS(Matches!H5:H28,Matches!K5:K28,W12,Matches!F5:F28,W15)</f>
        <v>0</v>
      </c>
      <c r="AE12" s="22">
        <f t="shared" si="7"/>
        <v>0</v>
      </c>
      <c r="AF12" s="22">
        <f t="shared" si="8"/>
        <v>3</v>
      </c>
      <c r="AG12" s="22">
        <f t="shared" ref="AG12" si="64">IF(W12&lt;&gt;"",SUMPRODUCT((V12:V15=V12)*(AF12:AF15&gt;AF12)*1),0)</f>
        <v>0</v>
      </c>
      <c r="AH12" s="22">
        <f t="shared" ref="AH12" si="65">IF(W12&lt;&gt;"",SUMPRODUCT((AG12:AG15=AG12)*(AE12:AE15&gt;AE12)*1),0)</f>
        <v>0</v>
      </c>
      <c r="AI12" s="22">
        <f t="shared" si="0"/>
        <v>0</v>
      </c>
      <c r="AJ12" s="22">
        <f t="shared" ref="AJ12" si="66">IF(W12&lt;&gt;"",SUMPRODUCT((AI12:AI15=AI12)*(AG12:AG15=AG12)*(AC12:AC15&gt;AC12)*1),0)</f>
        <v>0</v>
      </c>
      <c r="AK12" s="22">
        <f t="shared" si="9"/>
        <v>1</v>
      </c>
      <c r="AL12" s="22">
        <v>0</v>
      </c>
      <c r="AM12" s="22">
        <v>0</v>
      </c>
      <c r="AN12" s="22">
        <v>0</v>
      </c>
      <c r="AO12" s="22">
        <v>0</v>
      </c>
      <c r="AP12" s="22">
        <v>0</v>
      </c>
      <c r="AQ12" s="22">
        <f t="shared" si="10"/>
        <v>0</v>
      </c>
      <c r="AR12" s="22">
        <f t="shared" si="11"/>
        <v>0</v>
      </c>
      <c r="AS12" s="22">
        <v>0</v>
      </c>
      <c r="AT12" s="22">
        <v>0</v>
      </c>
      <c r="AU12" s="22">
        <f t="shared" si="12"/>
        <v>0</v>
      </c>
      <c r="AV12" s="22">
        <v>0</v>
      </c>
      <c r="AW12" s="22">
        <f>AK12+AU12+AV12</f>
        <v>1</v>
      </c>
      <c r="AX12" s="22">
        <v>0</v>
      </c>
      <c r="AY12" s="22">
        <v>0</v>
      </c>
      <c r="AZ12" s="22">
        <v>0</v>
      </c>
      <c r="BA12" s="22">
        <v>0</v>
      </c>
      <c r="BB12" s="22">
        <v>0</v>
      </c>
      <c r="BC12" s="22">
        <v>0</v>
      </c>
      <c r="BD12" s="22">
        <v>0</v>
      </c>
      <c r="BE12" s="22">
        <v>0</v>
      </c>
      <c r="BF12" s="22">
        <v>0</v>
      </c>
      <c r="BG12" s="22">
        <v>0</v>
      </c>
      <c r="BH12" s="22">
        <v>0</v>
      </c>
      <c r="BI12" s="22">
        <f t="shared" si="17"/>
        <v>1</v>
      </c>
      <c r="BJ12" s="22">
        <f>SUMPRODUCT((BI12:BI15=BI12)*(A12:A15&gt;A12)*1)</f>
        <v>0</v>
      </c>
      <c r="BK12" s="22">
        <f t="shared" si="14"/>
        <v>1</v>
      </c>
      <c r="BM12" s="192"/>
      <c r="BN12" s="193"/>
      <c r="BO12" s="194" t="str">
        <f>Calculator!C9</f>
        <v>Ecuador</v>
      </c>
      <c r="BP12" s="195" t="s">
        <v>384</v>
      </c>
      <c r="BQ12" s="194"/>
      <c r="BR12" s="189">
        <v>6</v>
      </c>
      <c r="BS12" s="196">
        <v>-9.5</v>
      </c>
      <c r="BT12" s="22"/>
      <c r="BU12" s="10">
        <v>6</v>
      </c>
      <c r="BV12" s="197">
        <f t="shared" si="18"/>
        <v>45466.791666666664</v>
      </c>
      <c r="BW12" s="198">
        <v>45466.791666666664</v>
      </c>
      <c r="BX12" s="199">
        <f t="shared" si="19"/>
        <v>45466.791666666664</v>
      </c>
      <c r="BZ12" s="189" t="str">
        <f>INDEX(Language!$A$1:$K$80,MATCH(Setup!B13,Language!$B$1:$B$80,0),MATCH(Setup!$C$5,Language!$A$1:$J$1,0))</f>
        <v>Ecuador</v>
      </c>
    </row>
    <row r="13" spans="1:78" x14ac:dyDescent="0.25">
      <c r="A13" s="22">
        <f>INDEX(M4:M35,MATCH(U13,C4:C35,0),0)</f>
        <v>1644</v>
      </c>
      <c r="B13" s="22">
        <f t="shared" si="25"/>
        <v>2</v>
      </c>
      <c r="C13" s="22" t="str">
        <f t="shared" si="1"/>
        <v>Uruguay</v>
      </c>
      <c r="D13" s="22">
        <f t="shared" si="2"/>
        <v>0</v>
      </c>
      <c r="E13" s="22">
        <f>SUMPRODUCT((Matches!H5:H28&lt;&gt;"")*(Matches!F5:F28=C13)*(Matches!H5:H28&gt;Matches!I5:I28)*1)+SUMPRODUCT((Matches!H5:H28&lt;&gt;"")*(Matches!K5:K28=C13)*(Matches!I5:I28&gt;Matches!H5:H28)*1)</f>
        <v>0</v>
      </c>
      <c r="F13" s="22">
        <f>SUMPRODUCT((Matches!H5:H28&lt;&gt;"")*(Matches!F5:F28=C13)*(Matches!H5:H28=Matches!I5:I28)*1)+SUMPRODUCT((Matches!H5:H28&lt;&gt;"")*(Matches!K5:K28=C13)*(Matches!H5:H28=Matches!I5:I28)*1)</f>
        <v>0</v>
      </c>
      <c r="G13" s="22">
        <f>SUMPRODUCT((Matches!H5:H28&lt;&gt;"")*(Matches!F5:F28=C13)*(Matches!H5:H28&lt;Matches!I5:I28)*1)+SUMPRODUCT((Matches!H5:H28&lt;&gt;"")*(Matches!K5:K28=C13)*(Matches!I5:I28&lt;Matches!H5:H28)*1)</f>
        <v>0</v>
      </c>
      <c r="H13" s="22">
        <f>SUMIF(Matches!F5:F28,C13,Matches!H5:H28)+SUMIF(Matches!K5:K28,C13,Matches!I5:I28)</f>
        <v>0</v>
      </c>
      <c r="I13" s="22">
        <f>SUMIF(Matches!F5:F28,C13,Matches!I5:I28)+SUMIF(Matches!K5:K28,C13,Matches!H5:H28)</f>
        <v>0</v>
      </c>
      <c r="J13" s="22">
        <f t="shared" si="3"/>
        <v>0</v>
      </c>
      <c r="K13" s="22">
        <f t="shared" si="4"/>
        <v>0</v>
      </c>
      <c r="L13" s="22">
        <f>Setup!E17</f>
        <v>1644</v>
      </c>
      <c r="M13" s="22">
        <f>IF(Setup!F17&lt;&gt;"",-Setup!F17,Setup!E17)</f>
        <v>1644</v>
      </c>
      <c r="N13" s="22">
        <f>RANK(K13,K12:K15)</f>
        <v>1</v>
      </c>
      <c r="O13" s="22">
        <f>SUMPRODUCT((N12:N15=N13)*(J12:J15&gt;J13)*1)</f>
        <v>0</v>
      </c>
      <c r="P13" s="22">
        <f t="shared" si="5"/>
        <v>1</v>
      </c>
      <c r="Q13" s="22">
        <f>SUMPRODUCT((N12:N15=N13)*(J12:J15=J13)*(H12:H15&gt;H13)*1)</f>
        <v>0</v>
      </c>
      <c r="R13" s="22">
        <f t="shared" si="6"/>
        <v>1</v>
      </c>
      <c r="S13" s="22">
        <f>RANK(R13,R12:R15,1)+COUNTIF(R12:R13,R13)-1</f>
        <v>2</v>
      </c>
      <c r="T13" s="22">
        <v>2</v>
      </c>
      <c r="U13" s="22" t="str">
        <f t="shared" ref="U13" si="67">INDEX(C12:C15,MATCH(T13,S12:S15,0),0)</f>
        <v>Uruguay</v>
      </c>
      <c r="V13" s="22">
        <f>INDEX(R12:R15,MATCH(U13,C12:C15,0),0)</f>
        <v>1</v>
      </c>
      <c r="W13" s="22" t="str">
        <f t="shared" ref="W13" si="68">IF(W12&lt;&gt;"",U13,"")</f>
        <v>Uruguay</v>
      </c>
      <c r="X13" s="22" t="str">
        <f t="shared" ref="X13" si="69">IF(V14=2,U13,"")</f>
        <v/>
      </c>
      <c r="Z13" s="22">
        <f>SUMPRODUCT((Matches!F5:F28=W13)*(Matches!K5:K28=W12)*(Matches!H5:H28&gt;Matches!I5:I28)*1)+SUMPRODUCT((Matches!K5:K28=W13)*(Matches!F5:F28=W12)*(Matches!I5:I28&gt;Matches!H5:H28)*1)+SUMPRODUCT((Matches!F5:F28=W13)*(Matches!K5:K28=W14)*(Matches!H5:H28&gt;Matches!I5:I28)*1)+SUMPRODUCT((Matches!K5:K28=W13)*(Matches!F5:F28=W14)*(Matches!I5:I28&gt;Matches!H5:H28)*1)+SUMPRODUCT((Matches!F5:F28=W13)*(Matches!K5:K28=W15)*(Matches!H5:H28&gt;Matches!I5:I28)*1)+SUMPRODUCT((Matches!K5:K28=W13)*(Matches!F5:F28=W15)*(Matches!I5:I28&gt;Matches!H5:H28)*1)</f>
        <v>0</v>
      </c>
      <c r="AA13" s="22">
        <f>SUMPRODUCT((Matches!F5:F28=W13)*(Matches!K5:K28=W12)*(Matches!H5:H28=Matches!I5:I28)*1)+SUMPRODUCT((Matches!K5:K28=W13)*(Matches!F5:F28=W12)*(Matches!H5:H28=Matches!I5:I28)*1)+SUMPRODUCT((Matches!F5:F28=W13)*(Matches!K5:K28=W14)*(Matches!H5:H28=Matches!I5:I28)*1)+SUMPRODUCT((Matches!K5:K28=W13)*(Matches!F5:F28=W14)*(Matches!H5:H28=Matches!I5:I28)*1)+SUMPRODUCT((Matches!F5:F28=W13)*(Matches!K5:K28=W15)*(Matches!H5:H28=Matches!I5:I28)*1)+SUMPRODUCT((Matches!K5:K28=W13)*(Matches!F5:F28=W15)*(Matches!H5:H28=Matches!I5:I28)*1)</f>
        <v>3</v>
      </c>
      <c r="AB13" s="22">
        <f>SUMPRODUCT((Matches!F5:F28=W13)*(Matches!K5:K28=W12)*(Matches!H5:H28&lt;Matches!I5:I28)*1)+SUMPRODUCT((Matches!K5:K28=W13)*(Matches!F5:F28=W12)*(Matches!I5:I28&lt;Matches!H5:H28)*1)+SUMPRODUCT((Matches!F5:F28=W13)*(Matches!K5:K28=W14)*(Matches!H5:H28&lt;Matches!I5:I28)*1)+SUMPRODUCT((Matches!K5:K28=W13)*(Matches!F5:F28=W14)*(Matches!I5:I28&lt;Matches!H5:H28)*1)+SUMPRODUCT((Matches!F5:F28=W13)*(Matches!K5:K28=W15)*(Matches!H5:H28&lt;Matches!I5:I28)*1)+SUMPRODUCT((Matches!K5:K28=W13)*(Matches!F5:F28=W15)*(Matches!I5:I28&lt;Matches!H5:H28)*1)</f>
        <v>0</v>
      </c>
      <c r="AC13" s="22">
        <f>SUMIFS(Matches!H5:H28,Matches!F5:F28,W13,Matches!K5:K28,W12)+SUMIFS(Matches!H5:H28,Matches!F5:F28,W13,Matches!K5:K28,W14)+SUMIFS(Matches!H5:H28,Matches!F5:F28,W13,Matches!K5:K28,W15)+SUMIFS(Matches!I5:I28,Matches!K5:K28,W13,Matches!F5:F28,W12)+SUMIFS(Matches!I5:I28,Matches!K5:K28,W13,Matches!F5:F28,W14)+SUMIFS(Matches!I5:I28,Matches!K5:K28,W13,Matches!F5:F28,W15)</f>
        <v>0</v>
      </c>
      <c r="AD13" s="22">
        <f>SUMIFS(Matches!I5:I28,Matches!F5:F28,W13,Matches!K5:K28,W12)+SUMIFS(Matches!I5:I28,Matches!F5:F28,W13,Matches!K5:K28,W14)+SUMIFS(Matches!I5:I28,Matches!F5:F28,W13,Matches!K5:K28,W15)+SUMIFS(Matches!H5:H28,Matches!K5:K28,W13,Matches!F5:F28,W12)+SUMIFS(Matches!H5:H28,Matches!K5:K28,W13,Matches!F5:F28,W14)+SUMIFS(Matches!H5:H28,Matches!K5:K28,W13,Matches!F5:F28,W15)</f>
        <v>0</v>
      </c>
      <c r="AE13" s="22">
        <f t="shared" si="7"/>
        <v>0</v>
      </c>
      <c r="AF13" s="22">
        <f t="shared" si="8"/>
        <v>3</v>
      </c>
      <c r="AG13" s="22">
        <f t="shared" ref="AG13" si="70">IF(W13&lt;&gt;"",SUMPRODUCT((V12:V15=V13)*(AF12:AF15&gt;AF13)*1),0)</f>
        <v>0</v>
      </c>
      <c r="AH13" s="22">
        <f t="shared" ref="AH13" si="71">IF(W13&lt;&gt;"",SUMPRODUCT((AG12:AG15=AG13)*(AE12:AE15&gt;AE13)*1),0)</f>
        <v>0</v>
      </c>
      <c r="AI13" s="22">
        <f t="shared" si="0"/>
        <v>0</v>
      </c>
      <c r="AJ13" s="22">
        <f t="shared" ref="AJ13" si="72">IF(W13&lt;&gt;"",SUMPRODUCT((AI12:AI15=AI13)*(AG12:AG15=AG13)*(AC12:AC15&gt;AC13)*1),0)</f>
        <v>0</v>
      </c>
      <c r="AK13" s="22">
        <f t="shared" si="9"/>
        <v>1</v>
      </c>
      <c r="AL13" s="22">
        <f>SUMPRODUCT((Matches!F5:F28=X13)*(Matches!K5:K28=X14)*(Matches!H5:H28&gt;Matches!I5:I28)*1)+SUMPRODUCT((Matches!K5:K28=X13)*(Matches!F5:F28=X14)*(Matches!I5:I28&gt;Matches!H5:H28)*1)+SUMPRODUCT((Matches!F5:F28=X13)*(Matches!K5:K28=X15)*(Matches!H5:H28&gt;Matches!I5:I28)*1)+SUMPRODUCT((Matches!K5:K28=X13)*(Matches!F5:F28=X15)*(Matches!I5:I28&gt;Matches!H5:H28)*1)</f>
        <v>0</v>
      </c>
      <c r="AM13" s="22">
        <f>SUMPRODUCT((Matches!F5:F28=X13)*(Matches!K5:K28=X14)*(Matches!H5:H28=Matches!I5:I28)*1)+SUMPRODUCT((Matches!K5:K28=X13)*(Matches!F5:F28=X14)*(Matches!H5:H28=Matches!I5:I28)*1)+SUMPRODUCT((Matches!F5:F28=X13)*(Matches!K5:K28=X15)*(Matches!H5:H28=Matches!I5:I28)*1)+SUMPRODUCT((Matches!K5:K28=X13)*(Matches!F5:F28=X15)*(Matches!H5:H28=Matches!I5:I28)*1)</f>
        <v>0</v>
      </c>
      <c r="AN13" s="22">
        <f>SUMPRODUCT((Matches!F5:F28=X13)*(Matches!K5:K28=X14)*(Matches!H5:H28&lt;Matches!I5:I28)*1)+SUMPRODUCT((Matches!K5:K28=X13)*(Matches!F5:F28=X14)*(Matches!I5:I28&lt;Matches!H5:H28)*1)+SUMPRODUCT((Matches!F5:F28=X13)*(Matches!K5:K28=X15)*(Matches!H5:H28&lt;Matches!I5:I28)*1)+SUMPRODUCT((Matches!K5:K28=X13)*(Matches!F5:F28=X15)*(Matches!I5:I28&lt;Matches!H5:H28)*1)</f>
        <v>0</v>
      </c>
      <c r="AO13" s="22">
        <f>SUMIFS(Matches!H5:H28,Matches!F5:F28,X13,Matches!K5:K28,X14)+SUMIFS(Matches!H5:H28,Matches!F5:F28,X13,Matches!K5:K28,X15)+SUMIFS(Matches!I5:I28,Matches!K5:K28,X13,Matches!F5:F28,X14)+SUMIFS(Matches!I5:I28,Matches!K5:K28,X13,Matches!F5:F28,X15)</f>
        <v>0</v>
      </c>
      <c r="AP13" s="22">
        <f>SUMIFS(Matches!I5:I28,Matches!F5:F28,X13,Matches!K5:K28,X14)+SUMIFS(Matches!I5:I28,Matches!F5:F28,X13,Matches!K5:K28,X15)+SUMIFS(Matches!H5:H28,Matches!K5:K28,X13,Matches!F5:F28,X14)+SUMIFS(Matches!H5:H28,Matches!K5:K28,X13,Matches!F5:F28,X15)</f>
        <v>0</v>
      </c>
      <c r="AQ13" s="22">
        <f t="shared" si="10"/>
        <v>0</v>
      </c>
      <c r="AR13" s="22">
        <f t="shared" si="11"/>
        <v>0</v>
      </c>
      <c r="AS13" s="22">
        <f t="shared" ref="AS13" si="73">IF(X13&lt;&gt;"",SUMPRODUCT((V12:V15=V13)*(AR12:AR15&gt;AR13)*1),0)</f>
        <v>0</v>
      </c>
      <c r="AT13" s="22">
        <f t="shared" ref="AT13" si="74">IF(X13&lt;&gt;"",SUMPRODUCT((AS12:AS15=AS13)*(AQ12:AQ15&gt;AQ13)*1),0)</f>
        <v>0</v>
      </c>
      <c r="AU13" s="22">
        <f t="shared" si="12"/>
        <v>0</v>
      </c>
      <c r="AV13" s="22">
        <f t="shared" ref="AV13" si="75">IF(X13&lt;&gt;"",SUMPRODUCT((AU12:AU15=AU13)*(AS12:AS15=AS13)*(AO12:AO15&gt;AO13)*1),0)</f>
        <v>0</v>
      </c>
      <c r="AW13" s="22">
        <f t="shared" si="13"/>
        <v>1</v>
      </c>
      <c r="AX13" s="22">
        <v>0</v>
      </c>
      <c r="AY13" s="22">
        <v>0</v>
      </c>
      <c r="AZ13" s="22">
        <v>0</v>
      </c>
      <c r="BA13" s="22">
        <v>0</v>
      </c>
      <c r="BB13" s="22">
        <v>0</v>
      </c>
      <c r="BC13" s="22">
        <v>0</v>
      </c>
      <c r="BD13" s="22">
        <v>0</v>
      </c>
      <c r="BE13" s="22">
        <v>0</v>
      </c>
      <c r="BF13" s="22">
        <v>0</v>
      </c>
      <c r="BG13" s="22">
        <v>0</v>
      </c>
      <c r="BH13" s="22">
        <v>0</v>
      </c>
      <c r="BI13" s="22">
        <f t="shared" si="17"/>
        <v>1</v>
      </c>
      <c r="BJ13" s="22">
        <f>SUMPRODUCT((BI12:BI15=BI13)*(A12:A15&gt;A13)*1)</f>
        <v>1</v>
      </c>
      <c r="BK13" s="22">
        <f t="shared" si="14"/>
        <v>2</v>
      </c>
      <c r="BM13" s="192"/>
      <c r="BN13" s="193"/>
      <c r="BO13" s="194" t="str">
        <f>Calculator!C10</f>
        <v>Venezuela</v>
      </c>
      <c r="BP13" s="195" t="s">
        <v>385</v>
      </c>
      <c r="BQ13" s="194"/>
      <c r="BR13" s="189">
        <v>7</v>
      </c>
      <c r="BS13" s="196">
        <v>-9</v>
      </c>
      <c r="BT13" s="22"/>
      <c r="BU13" s="10">
        <v>7</v>
      </c>
      <c r="BV13" s="197">
        <f t="shared" si="18"/>
        <v>45467.75</v>
      </c>
      <c r="BW13" s="198">
        <v>45467.75</v>
      </c>
      <c r="BX13" s="199">
        <f t="shared" si="19"/>
        <v>45467.75</v>
      </c>
      <c r="BY13" s="189">
        <f>SUM(Matches!R11:R14)</f>
        <v>0</v>
      </c>
      <c r="BZ13" s="189" t="str">
        <f>INDEX(Language!$A$1:$K$80,MATCH(Setup!B14,Language!$B$1:$B$80,0),MATCH(Setup!$C$5,Language!$A$1:$J$1,0))</f>
        <v>Venezuela</v>
      </c>
    </row>
    <row r="14" spans="1:78" x14ac:dyDescent="0.25">
      <c r="A14" s="22">
        <f>INDEX(M4:M35,MATCH(U14,C4:C35,0),0)</f>
        <v>1461</v>
      </c>
      <c r="B14" s="22">
        <f t="shared" si="25"/>
        <v>3</v>
      </c>
      <c r="C14" s="22" t="str">
        <f t="shared" si="1"/>
        <v>Panama</v>
      </c>
      <c r="D14" s="22">
        <f t="shared" si="2"/>
        <v>0</v>
      </c>
      <c r="E14" s="22">
        <f>SUMPRODUCT((Matches!H5:H28&lt;&gt;"")*(Matches!F5:F28=C14)*(Matches!H5:H28&gt;Matches!I5:I28)*1)+SUMPRODUCT((Matches!H5:H28&lt;&gt;"")*(Matches!K5:K28=C14)*(Matches!I5:I28&gt;Matches!H5:H28)*1)</f>
        <v>0</v>
      </c>
      <c r="F14" s="22">
        <f>SUMPRODUCT((Matches!H5:H28&lt;&gt;"")*(Matches!F5:F28=C14)*(Matches!H5:H28=Matches!I5:I28)*1)+SUMPRODUCT((Matches!H5:H28&lt;&gt;"")*(Matches!K5:K28=C14)*(Matches!H5:H28=Matches!I5:I28)*1)</f>
        <v>0</v>
      </c>
      <c r="G14" s="22">
        <f>SUMPRODUCT((Matches!H5:H28&lt;&gt;"")*(Matches!F5:F28=C14)*(Matches!H5:H28&lt;Matches!I5:I28)*1)+SUMPRODUCT((Matches!H5:H28&lt;&gt;"")*(Matches!K5:K28=C14)*(Matches!I5:I28&lt;Matches!H5:H28)*1)</f>
        <v>0</v>
      </c>
      <c r="H14" s="22">
        <f>SUMIF(Matches!F5:F28,C14,Matches!H5:H28)+SUMIF(Matches!K5:K28,C14,Matches!I5:I28)</f>
        <v>0</v>
      </c>
      <c r="I14" s="22">
        <f>SUMIF(Matches!F5:F28,C14,Matches!I5:I28)+SUMIF(Matches!K5:K28,C14,Matches!H5:H28)</f>
        <v>0</v>
      </c>
      <c r="J14" s="22">
        <f t="shared" si="3"/>
        <v>0</v>
      </c>
      <c r="K14" s="22">
        <f t="shared" si="4"/>
        <v>0</v>
      </c>
      <c r="L14" s="22">
        <f>Setup!E18</f>
        <v>1461</v>
      </c>
      <c r="M14" s="22">
        <f>IF(Setup!F18&lt;&gt;"",-Setup!F18,Setup!E18)</f>
        <v>1461</v>
      </c>
      <c r="N14" s="22">
        <f>RANK(K14,K12:K15)</f>
        <v>1</v>
      </c>
      <c r="O14" s="22">
        <f>SUMPRODUCT((N12:N15=N14)*(J12:J15&gt;J14)*1)</f>
        <v>0</v>
      </c>
      <c r="P14" s="22">
        <f t="shared" si="5"/>
        <v>1</v>
      </c>
      <c r="Q14" s="22">
        <f>SUMPRODUCT((N12:N15=N14)*(J12:J15=J14)*(H12:H15&gt;H14)*1)</f>
        <v>0</v>
      </c>
      <c r="R14" s="22">
        <f t="shared" si="6"/>
        <v>1</v>
      </c>
      <c r="S14" s="22">
        <f>RANK(R14,R12:R15,1)+COUNTIF(R12:R14,R14)-1</f>
        <v>3</v>
      </c>
      <c r="T14" s="22">
        <v>3</v>
      </c>
      <c r="U14" s="22" t="str">
        <f t="shared" ref="U14" si="76">INDEX(C12:C15,MATCH(T14,S12:S15,0),0)</f>
        <v>Panama</v>
      </c>
      <c r="V14" s="22">
        <f>INDEX(R12:R15,MATCH(U14,C12:C15,0),0)</f>
        <v>1</v>
      </c>
      <c r="W14" s="22" t="str">
        <f t="shared" ref="W14:W15" si="77">IF(AND(W13&lt;&gt;"",V14=1),U14,"")</f>
        <v>Panama</v>
      </c>
      <c r="X14" s="22" t="str">
        <f t="shared" ref="X14" si="78">IF(X13&lt;&gt;"",U14,"")</f>
        <v/>
      </c>
      <c r="Y14" s="22" t="str">
        <f t="shared" ref="Y14" si="79">IF(V15=3,U14,"")</f>
        <v/>
      </c>
      <c r="Z14" s="22">
        <f>SUMPRODUCT((Matches!F5:F28=W14)*(Matches!K5:K28=W12)*(Matches!H5:H28&gt;Matches!I5:I28)*1)+SUMPRODUCT((Matches!K5:K28=W14)*(Matches!F5:F28=W12)*(Matches!I5:I28&gt;Matches!H5:H28)*1)+SUMPRODUCT((Matches!F5:F28=W14)*(Matches!K5:K28=W13)*(Matches!H5:H28&gt;Matches!I5:I28)*1)+SUMPRODUCT((Matches!K5:K28=W14)*(Matches!F5:F28=W13)*(Matches!I5:I28&gt;Matches!H5:H28)*1)+SUMPRODUCT((Matches!F5:F28=W14)*(Matches!K5:K28=W15)*(Matches!H5:H28&gt;Matches!I5:I28)*1)+SUMPRODUCT((Matches!K5:K28=W14)*(Matches!F5:F28=W15)*(Matches!I5:I28&gt;Matches!H5:H28)*1)</f>
        <v>0</v>
      </c>
      <c r="AA14" s="22">
        <f>SUMPRODUCT((Matches!F5:F28=W14)*(Matches!K5:K28=W12)*(Matches!H5:H28=Matches!I5:I28)*1)+SUMPRODUCT((Matches!K5:K28=W14)*(Matches!F5:F28=W12)*(Matches!H5:H28=Matches!I5:I28)*1)+SUMPRODUCT((Matches!F5:F28=W14)*(Matches!K5:K28=W13)*(Matches!H5:H28=Matches!I5:I28)*1)+SUMPRODUCT((Matches!K5:K28=W14)*(Matches!F5:F28=W13)*(Matches!H5:H28=Matches!I5:I28)*1)+SUMPRODUCT((Matches!F5:F28=W14)*(Matches!K5:K28=W15)*(Matches!H5:H28=Matches!I5:I28)*1)+SUMPRODUCT((Matches!K5:K28=W14)*(Matches!F5:F28=W15)*(Matches!H5:H28=Matches!I5:I28)*1)</f>
        <v>3</v>
      </c>
      <c r="AB14" s="22">
        <f>SUMPRODUCT((Matches!F5:F28=W14)*(Matches!K5:K28=W12)*(Matches!H5:H28&lt;Matches!I5:I28)*1)+SUMPRODUCT((Matches!K5:K28=W14)*(Matches!F5:F28=W12)*(Matches!I5:I28&lt;Matches!H5:H28)*1)+SUMPRODUCT((Matches!F5:F28=W14)*(Matches!K5:K28=W13)*(Matches!H5:H28&lt;Matches!I5:I28)*1)+SUMPRODUCT((Matches!K5:K28=W14)*(Matches!F5:F28=W13)*(Matches!I5:I28&lt;Matches!H5:H28)*1)+SUMPRODUCT((Matches!F5:F28=W14)*(Matches!K5:K28=W15)*(Matches!H5:H28&lt;Matches!I5:I28)*1)+SUMPRODUCT((Matches!K5:K28=W14)*(Matches!F5:F28=W15)*(Matches!I5:I28&lt;Matches!H5:H28)*1)</f>
        <v>0</v>
      </c>
      <c r="AC14" s="22">
        <f>SUMIFS(Matches!H5:H28,Matches!F5:F28,W14,Matches!K5:K28,W12)+SUMIFS(Matches!H5:H28,Matches!F5:F28,W14,Matches!K5:K28,W13)+SUMIFS(Matches!H5:H28,Matches!F5:F28,W14,Matches!K5:K28,W15)+SUMIFS(Matches!I5:I28,Matches!K5:K28,W14,Matches!F5:F28,W12)+SUMIFS(Matches!I5:I28,Matches!K5:K28,W14,Matches!F5:F28,W13)+SUMIFS(Matches!I5:I28,Matches!K5:K28,W14,Matches!F5:F28,W15)</f>
        <v>0</v>
      </c>
      <c r="AD14" s="22">
        <f>SUMIFS(Matches!I5:I28,Matches!F5:F28,W14,Matches!K5:K28,W12)+SUMIFS(Matches!I5:I28,Matches!F5:F28,W14,Matches!K5:K28,W13)+SUMIFS(Matches!I5:I28,Matches!F5:F28,W14,Matches!K5:K28,W15)+SUMIFS(Matches!H5:H28,Matches!K5:K28,W14,Matches!F5:F28,W12)+SUMIFS(Matches!H5:H28,Matches!K5:K28,W14,Matches!F5:F28,W13)+SUMIFS(Matches!H5:H28,Matches!K5:K28,W14,Matches!F5:F28,W15)</f>
        <v>0</v>
      </c>
      <c r="AE14" s="22">
        <f t="shared" si="7"/>
        <v>0</v>
      </c>
      <c r="AF14" s="22">
        <f t="shared" si="8"/>
        <v>3</v>
      </c>
      <c r="AG14" s="22">
        <f t="shared" ref="AG14" si="80">IF(W14&lt;&gt;"",SUMPRODUCT((V12:V15=V14)*(AF12:AF15&gt;AF14)*1),0)</f>
        <v>0</v>
      </c>
      <c r="AH14" s="22">
        <f t="shared" ref="AH14" si="81">IF(W14&lt;&gt;"",SUMPRODUCT((AG12:AG15=AG14)*(AE12:AE15&gt;AE14)*1),0)</f>
        <v>0</v>
      </c>
      <c r="AI14" s="22">
        <f t="shared" si="0"/>
        <v>0</v>
      </c>
      <c r="AJ14" s="22">
        <f t="shared" ref="AJ14" si="82">IF(W14&lt;&gt;"",SUMPRODUCT((AI12:AI15=AI14)*(AG12:AG15=AG14)*(AC12:AC15&gt;AC14)*1),0)</f>
        <v>0</v>
      </c>
      <c r="AK14" s="22">
        <f t="shared" si="9"/>
        <v>1</v>
      </c>
      <c r="AL14" s="22">
        <f>SUMPRODUCT((Matches!F5:F28=X14)*(Matches!K5:K28=X13)*(Matches!H5:H28&gt;Matches!I5:I28)*1)+SUMPRODUCT((Matches!K5:K28=X14)*(Matches!F5:F28=X13)*(Matches!I5:I28&gt;Matches!H5:H28)*1)+SUMPRODUCT((Matches!F5:F28=X14)*(Matches!K5:K28=X15)*(Matches!H5:H28&gt;Matches!I5:I28)*1)+SUMPRODUCT((Matches!K5:K28=X14)*(Matches!F5:F28=X15)*(Matches!I5:I28&gt;Matches!H5:H28)*1)</f>
        <v>0</v>
      </c>
      <c r="AM14" s="22">
        <f>SUMPRODUCT((Matches!F5:F28=X14)*(Matches!K5:K28=X13)*(Matches!H5:H28=Matches!I5:I28)*1)+SUMPRODUCT((Matches!K5:K28=X14)*(Matches!F5:F28=X13)*(Matches!H5:H28=Matches!I5:I28)*1)+SUMPRODUCT((Matches!F5:F28=X14)*(Matches!K5:K28=X15)*(Matches!H5:H28=Matches!I5:I28)*1)+SUMPRODUCT((Matches!K5:K28=X14)*(Matches!F5:F28=X15)*(Matches!H5:H28=Matches!I5:I28)*1)</f>
        <v>0</v>
      </c>
      <c r="AN14" s="22">
        <f>SUMPRODUCT((Matches!F5:F28=X14)*(Matches!K5:K28=X13)*(Matches!H5:H28&lt;Matches!I5:I28)*1)+SUMPRODUCT((Matches!K5:K28=X14)*(Matches!F5:F28=X13)*(Matches!I5:I28&lt;Matches!H5:H28)*1)+SUMPRODUCT((Matches!F5:F28=X14)*(Matches!K5:K28=X15)*(Matches!H5:H28&lt;Matches!I5:I28)*1)+SUMPRODUCT((Matches!K5:K28=X14)*(Matches!F5:F28=X15)*(Matches!I5:I28&lt;Matches!H5:H28)*1)</f>
        <v>0</v>
      </c>
      <c r="AO14" s="22">
        <f>SUMIFS(Matches!H5:H28,Matches!F5:F28,X14,Matches!K5:K28,X13)+SUMIFS(Matches!H5:H28,Matches!F5:F28,X14,Matches!K5:K28,X15)+SUMIFS(Matches!I5:I28,Matches!K5:K28,X14,Matches!F5:F28,X13)+SUMIFS(Matches!I5:I28,Matches!K5:K28,X14,Matches!F5:F28,X15)</f>
        <v>0</v>
      </c>
      <c r="AP14" s="22">
        <f>SUMIFS(Matches!I5:I28,Matches!F5:F28,X14,Matches!K5:K28,X13)+SUMIFS(Matches!I5:I28,Matches!F5:F28,X14,Matches!K5:K28,X15)+SUMIFS(Matches!H5:H28,Matches!K5:K28,X14,Matches!F5:F28,X13)+SUMIFS(Matches!H5:H28,Matches!K5:K28,X14,Matches!F5:F28,X15)</f>
        <v>0</v>
      </c>
      <c r="AQ14" s="22">
        <f t="shared" si="10"/>
        <v>0</v>
      </c>
      <c r="AR14" s="22">
        <f t="shared" si="11"/>
        <v>0</v>
      </c>
      <c r="AS14" s="22">
        <f t="shared" ref="AS14" si="83">IF(X14&lt;&gt;"",SUMPRODUCT((V12:V15=V14)*(AR12:AR15&gt;AR14)*1),0)</f>
        <v>0</v>
      </c>
      <c r="AT14" s="22">
        <f t="shared" ref="AT14" si="84">IF(X14&lt;&gt;"",SUMPRODUCT((AS12:AS15=AS14)*(AQ12:AQ15&gt;AQ14)*1),0)</f>
        <v>0</v>
      </c>
      <c r="AU14" s="22">
        <f t="shared" si="12"/>
        <v>0</v>
      </c>
      <c r="AV14" s="22">
        <f t="shared" ref="AV14" si="85">IF(X14&lt;&gt;"",SUMPRODUCT((AU12:AU15=AU14)*(AS12:AS15=AS14)*(AO12:AO15&gt;AO14)*1),0)</f>
        <v>0</v>
      </c>
      <c r="AW14" s="22">
        <f t="shared" si="13"/>
        <v>1</v>
      </c>
      <c r="AX14" s="22">
        <f>SUMPRODUCT((Matches!F5:F28=Y14)*(Matches!K5:K28=Y15)*(Matches!H5:H28&gt;Matches!I5:I28)*1)+SUMPRODUCT((Matches!K5:K28=Y14)*(Matches!F5:F28=Y15)*(Matches!I5:I28&gt;Matches!H5:H28)*1)</f>
        <v>0</v>
      </c>
      <c r="AY14" s="22">
        <f>SUMPRODUCT((Matches!F5:F28=Y14)*(Matches!K5:K28=Y15)*(Matches!H5:H28=Matches!I5:I28)*1)+SUMPRODUCT((Matches!K5:K28=Y14)*(Matches!F5:F28=Y15)*(Matches!I5:I28=Matches!H5:H28)*1)</f>
        <v>0</v>
      </c>
      <c r="AZ14" s="22">
        <f>SUMPRODUCT((Matches!F5:F28=Y14)*(Matches!K5:K28=Y15)*(Matches!H5:H28&lt;Matches!I5:I28)*1)+SUMPRODUCT((Matches!K5:K28=Y14)*(Matches!F5:F28=Y15)*(Matches!I5:I28&lt;Matches!H5:H28)*1)</f>
        <v>0</v>
      </c>
      <c r="BA14" s="22">
        <f>SUMIFS(Matches!H5:H28,Matches!F5:F28,Y14,Matches!K5:K28,Y15)+SUMIFS(Matches!I5:I28,Matches!K5:K28,Y14,Matches!F5:F28,Y15)</f>
        <v>0</v>
      </c>
      <c r="BB14" s="22">
        <f>SUMIFS(Matches!I5:I28,Matches!F5:F28,Y14,Matches!K5:K28,Y15)+SUMIFS(Matches!H5:H28,Matches!K5:K28,Y14,Matches!F5:F28,Y15)</f>
        <v>0</v>
      </c>
      <c r="BC14" s="22">
        <f t="shared" ref="BC14:BC15" si="86">BA14-BB14</f>
        <v>0</v>
      </c>
      <c r="BD14" s="22">
        <f t="shared" ref="BD14:BD15" si="87">AY14*1+AX14*3</f>
        <v>0</v>
      </c>
      <c r="BE14" s="22">
        <f t="shared" ref="BE14" si="88">IF(Y14&lt;&gt;"",SUMPRODUCT((AH12:AH15=AH14)*(BD12:BD15&gt;BD14)*1),0)</f>
        <v>0</v>
      </c>
      <c r="BF14" s="22">
        <f t="shared" ref="BF14" si="89">IF(Y14&lt;&gt;"",SUMPRODUCT((BE12:BE15=BE14)*(BC12:BC15&gt;BC14)*1),0)</f>
        <v>0</v>
      </c>
      <c r="BG14" s="22">
        <f t="shared" ref="BG14:BG15" si="90">BE14+BF14</f>
        <v>0</v>
      </c>
      <c r="BH14" s="22">
        <f t="shared" ref="BH14" si="91">IF(Y14&lt;&gt;"",SUMPRODUCT((BG12:BG15=BG14)*(BE12:BE15=BE14)*(BA12:BA15&gt;BA14)*1),0)</f>
        <v>0</v>
      </c>
      <c r="BI14" s="22">
        <f t="shared" si="17"/>
        <v>1</v>
      </c>
      <c r="BJ14" s="22">
        <f>SUMPRODUCT((BI12:BI15=BI14)*(A12:A15&gt;A14)*1)</f>
        <v>2</v>
      </c>
      <c r="BK14" s="22">
        <f t="shared" si="14"/>
        <v>3</v>
      </c>
      <c r="BM14" s="192"/>
      <c r="BN14" s="193"/>
      <c r="BO14" s="194" t="str">
        <f>Calculator!C11</f>
        <v>Jamaica</v>
      </c>
      <c r="BP14" s="195" t="s">
        <v>386</v>
      </c>
      <c r="BQ14" s="194"/>
      <c r="BR14" s="189">
        <v>8</v>
      </c>
      <c r="BS14" s="196">
        <v>-8.5</v>
      </c>
      <c r="BT14" s="22"/>
      <c r="BU14" s="10">
        <v>8</v>
      </c>
      <c r="BV14" s="197">
        <f t="shared" si="18"/>
        <v>45467.791666666664</v>
      </c>
      <c r="BW14" s="198">
        <v>45467.791666666664</v>
      </c>
      <c r="BX14" s="199">
        <f t="shared" si="19"/>
        <v>45467.791666666664</v>
      </c>
      <c r="BZ14" s="189" t="str">
        <f>INDEX(Language!$A$1:$K$80,MATCH(Setup!B15,Language!$B$1:$B$80,0),MATCH(Setup!$C$5,Language!$A$1:$J$1,0))</f>
        <v>Jamaica</v>
      </c>
    </row>
    <row r="15" spans="1:78" ht="16.5" x14ac:dyDescent="0.25">
      <c r="A15" s="22">
        <f>INDEX(M4:M35,MATCH(U15,C4:C35,0),0)</f>
        <v>1271</v>
      </c>
      <c r="B15" s="22">
        <f t="shared" si="25"/>
        <v>4</v>
      </c>
      <c r="C15" s="22" t="str">
        <f t="shared" si="1"/>
        <v>Bolivia</v>
      </c>
      <c r="D15" s="22">
        <f t="shared" si="2"/>
        <v>0</v>
      </c>
      <c r="E15" s="22">
        <f>SUMPRODUCT((Matches!H5:H28&lt;&gt;"")*(Matches!F5:F28=C15)*(Matches!H5:H28&gt;Matches!I5:I28)*1)+SUMPRODUCT((Matches!H5:H28&lt;&gt;"")*(Matches!K5:K28=C15)*(Matches!I5:I28&gt;Matches!H5:H28)*1)</f>
        <v>0</v>
      </c>
      <c r="F15" s="22">
        <f>SUMPRODUCT((Matches!H5:H28&lt;&gt;"")*(Matches!F5:F28=C15)*(Matches!H5:H28=Matches!I5:I28)*1)+SUMPRODUCT((Matches!H5:H28&lt;&gt;"")*(Matches!K5:K28=C15)*(Matches!H5:H28=Matches!I5:I28)*1)</f>
        <v>0</v>
      </c>
      <c r="G15" s="22">
        <f>SUMPRODUCT((Matches!H5:H28&lt;&gt;"")*(Matches!F5:F28=C15)*(Matches!H5:H28&lt;Matches!I5:I28)*1)+SUMPRODUCT((Matches!H5:H28&lt;&gt;"")*(Matches!K5:K28=C15)*(Matches!I5:I28&lt;Matches!H5:H28)*1)</f>
        <v>0</v>
      </c>
      <c r="H15" s="22">
        <f>SUMIF(Matches!F5:F28,C15,Matches!H5:H28)+SUMIF(Matches!K5:K28,C15,Matches!I5:I28)</f>
        <v>0</v>
      </c>
      <c r="I15" s="22">
        <f>SUMIF(Matches!F5:F28,C15,Matches!I5:I28)+SUMIF(Matches!K5:K28,C15,Matches!H5:H28)</f>
        <v>0</v>
      </c>
      <c r="J15" s="22">
        <f t="shared" si="3"/>
        <v>0</v>
      </c>
      <c r="K15" s="22">
        <f t="shared" si="4"/>
        <v>0</v>
      </c>
      <c r="L15" s="22">
        <f>Setup!E19</f>
        <v>1271</v>
      </c>
      <c r="M15" s="22">
        <f>IF(Setup!F19&lt;&gt;"",-Setup!F19,Setup!E19)</f>
        <v>1271</v>
      </c>
      <c r="N15" s="22">
        <f>RANK(K15,K12:K15)</f>
        <v>1</v>
      </c>
      <c r="O15" s="22">
        <f>SUMPRODUCT((N12:N15=N15)*(J12:J15&gt;J15)*1)</f>
        <v>0</v>
      </c>
      <c r="P15" s="22">
        <f t="shared" si="5"/>
        <v>1</v>
      </c>
      <c r="Q15" s="22">
        <f>SUMPRODUCT((N12:N15=N15)*(J12:J15=J15)*(H12:H15&gt;H15)*1)</f>
        <v>0</v>
      </c>
      <c r="R15" s="22">
        <f t="shared" si="6"/>
        <v>1</v>
      </c>
      <c r="S15" s="22">
        <f>RANK(R15,R12:R15,1)+COUNTIF(R12:R15,R15)-1</f>
        <v>4</v>
      </c>
      <c r="T15" s="22">
        <v>4</v>
      </c>
      <c r="U15" s="22" t="str">
        <f t="shared" ref="U15" si="92">INDEX(C12:C15,MATCH(T15,S12:S15,0),0)</f>
        <v>Bolivia</v>
      </c>
      <c r="V15" s="22">
        <f>INDEX(R12:R15,MATCH(U15,C12:C15,0),0)</f>
        <v>1</v>
      </c>
      <c r="W15" s="22" t="str">
        <f t="shared" si="77"/>
        <v>Bolivia</v>
      </c>
      <c r="X15" s="22" t="str">
        <f t="shared" ref="X15" si="93">IF(AND(X14&lt;&gt;"",V15=2),U15,"")</f>
        <v/>
      </c>
      <c r="Y15" s="22" t="str">
        <f t="shared" ref="Y15" si="94">IF(AND(Y14&lt;&gt;"",V15=3),U15,"")</f>
        <v/>
      </c>
      <c r="Z15" s="22">
        <f>SUMPRODUCT((Matches!F5:F28=W15)*(Matches!K5:K28=W12)*(Matches!H5:H28&gt;Matches!I5:I28)*1)+SUMPRODUCT((Matches!K5:K28=W15)*(Matches!F5:F28=W12)*(Matches!I5:I28&gt;Matches!H5:H28)*1)+SUMPRODUCT((Matches!F5:F28=W15)*(Matches!K5:K28=W13)*(Matches!H5:H28&gt;Matches!I5:I28)*1)+SUMPRODUCT((Matches!K5:K28=W15)*(Matches!F5:F28=W13)*(Matches!I5:I28&gt;Matches!H5:H28)*1)+SUMPRODUCT((Matches!F5:F28=W15)*(Matches!K5:K28=W14)*(Matches!H5:H28&gt;Matches!I5:I28)*1)+SUMPRODUCT((Matches!K5:K28=W15)*(Matches!F5:F28=W14)*(Matches!I5:I28&gt;Matches!H5:H28)*1)</f>
        <v>0</v>
      </c>
      <c r="AA15" s="22">
        <f>SUMPRODUCT((Matches!F5:F28=W15)*(Matches!K5:K28=W12)*(Matches!H5:H28&gt;=Matches!I5:I28)*1)+SUMPRODUCT((Matches!K5:K28=W15)*(Matches!F5:F28=W12)*(Matches!H5:H28=Matches!I5:I28)*1)+SUMPRODUCT((Matches!F5:F28=W15)*(Matches!K5:K28=W13)*(Matches!H5:H28=Matches!I5:I28)*1)+SUMPRODUCT((Matches!K5:K28=W15)*(Matches!F5:F28=W13)*(Matches!H5:H28=Matches!I5:I28)*1)+SUMPRODUCT((Matches!F5:F28=W15)*(Matches!K5:K28=W14)*(Matches!H5:H28=Matches!I5:I28)*1)+SUMPRODUCT((Matches!K5:K28=W15)*(Matches!F5:F28=W14)*(Matches!H5:H28=Matches!I5:I28)*1)</f>
        <v>3</v>
      </c>
      <c r="AB15" s="22">
        <f>SUMPRODUCT((Matches!F5:F28=W15)*(Matches!K5:K28=W12)*(Matches!H5:H28&lt;Matches!I5:I28)*1)+SUMPRODUCT((Matches!K5:K28=W15)*(Matches!F5:F28=W12)*(Matches!I5:I28&lt;Matches!H5:H28)*1)+SUMPRODUCT((Matches!F5:F28=W15)*(Matches!K5:K28=W13)*(Matches!H5:H28&lt;Matches!I5:I28)*1)+SUMPRODUCT((Matches!K5:K28=W15)*(Matches!F5:F28=W13)*(Matches!I5:I28&lt;Matches!H5:H28)*1)+SUMPRODUCT((Matches!F5:F28=W15)*(Matches!K5:K28=W14)*(Matches!H5:H28&lt;Matches!I5:I28)*1)+SUMPRODUCT((Matches!K5:K28=W15)*(Matches!F5:F28=W14)*(Matches!I5:I28&lt;Matches!H5:H28)*1)</f>
        <v>0</v>
      </c>
      <c r="AC15" s="22">
        <f>SUMIFS(Matches!H5:H28,Matches!F5:F28,W15,Matches!K5:K28,W12)+SUMIFS(Matches!H5:H28,Matches!F5:F28,W15,Matches!K5:K28,W13)+SUMIFS(Matches!H5:H28,Matches!F5:F28,W15,Matches!K5:K28,W14)+SUMIFS(Matches!I5:I28,Matches!K5:K28,W15,Matches!F5:F28,W12)+SUMIFS(Matches!I5:I28,Matches!K5:K28,W15,Matches!F5:F28,W13)+SUMIFS(Matches!I5:I28,Matches!K5:K28,W15,Matches!F5:F28,W14)</f>
        <v>0</v>
      </c>
      <c r="AD15" s="22">
        <f>SUMIFS(Matches!I5:I28,Matches!F5:F28,W15,Matches!K5:K28,W12)+SUMIFS(Matches!I5:I28,Matches!F5:F28,W15,Matches!K5:K28,W13)+SUMIFS(Matches!I5:I28,Matches!F5:F28,W15,Matches!K5:K28,W14)+SUMIFS(Matches!H5:H28,Matches!K5:K28,W15,Matches!F5:F28,W12)+SUMIFS(Matches!H5:H28,Matches!K5:K28,W15,Matches!F5:F28,W13)+SUMIFS(Matches!H5:H28,Matches!K5:K28,W15,Matches!F5:F28,W14)</f>
        <v>0</v>
      </c>
      <c r="AE15" s="22">
        <f t="shared" si="7"/>
        <v>0</v>
      </c>
      <c r="AF15" s="22">
        <f t="shared" si="8"/>
        <v>3</v>
      </c>
      <c r="AG15" s="22">
        <f t="shared" ref="AG15" si="95">IF(W15&lt;&gt;"",SUMPRODUCT((V12:V15=V15)*(AF12:AF15&gt;AF15)*1),0)</f>
        <v>0</v>
      </c>
      <c r="AH15" s="22">
        <f t="shared" ref="AH15" si="96">IF(W15&lt;&gt;"",SUMPRODUCT((AG12:AG15=AG15)*(AE12:AE15&gt;AE15)*1),0)</f>
        <v>0</v>
      </c>
      <c r="AI15" s="22">
        <f t="shared" si="0"/>
        <v>0</v>
      </c>
      <c r="AJ15" s="22">
        <f t="shared" ref="AJ15" si="97">IF(W15&lt;&gt;"",SUMPRODUCT((AI12:AI15=AI15)*(AG12:AG15=AG15)*(AC12:AC15&gt;AC15)*1),0)</f>
        <v>0</v>
      </c>
      <c r="AK15" s="22">
        <f t="shared" si="9"/>
        <v>1</v>
      </c>
      <c r="AL15" s="22">
        <f>SUMPRODUCT((Matches!F5:F28=X15)*(Matches!K5:K28=X13)*(Matches!H5:H28&gt;Matches!I5:I28)*1)+SUMPRODUCT((Matches!K5:K28=X15)*(Matches!F5:F28=X13)*(Matches!I5:I28&gt;Matches!H5:H28)*1)+SUMPRODUCT((Matches!F5:F28=X15)*(Matches!K5:K28=X14)*(Matches!H5:H28&gt;Matches!I5:I28)*1)+SUMPRODUCT((Matches!K5:K28=X15)*(Matches!F5:F28=X14)*(Matches!I5:I28&gt;Matches!H5:H28)*1)</f>
        <v>0</v>
      </c>
      <c r="AM15" s="22">
        <f>SUMPRODUCT((Matches!F5:F28=X15)*(Matches!K5:K28=X13)*(Matches!H5:H28=Matches!I5:I28)*1)+SUMPRODUCT((Matches!K5:K28=X15)*(Matches!F5:F28=X13)*(Matches!H5:H28=Matches!I5:I28)*1)+SUMPRODUCT((Matches!F5:F28=X15)*(Matches!K5:K28=X14)*(Matches!H5:H28=Matches!I5:I28)*1)+SUMPRODUCT((Matches!K5:K28=X15)*(Matches!F5:F28=X14)*(Matches!H5:H28=Matches!I5:I28)*1)</f>
        <v>0</v>
      </c>
      <c r="AN15" s="22">
        <f>SUMPRODUCT((Matches!F5:F28=X15)*(Matches!K5:K28=X13)*(Matches!H5:H28&lt;Matches!I5:I28)*1)+SUMPRODUCT((Matches!K5:K28=X15)*(Matches!F5:F28=X13)*(Matches!I5:I28&lt;Matches!H5:H28)*1)+SUMPRODUCT((Matches!F5:F28=X15)*(Matches!K5:K28=X14)*(Matches!H5:H28&lt;Matches!I5:I28)*1)+SUMPRODUCT((Matches!K5:K28=X15)*(Matches!F5:F28=X14)*(Matches!I5:I28&lt;Matches!H5:H28)*1)</f>
        <v>0</v>
      </c>
      <c r="AO15" s="22">
        <f>SUMIFS(Matches!H5:H28,Matches!F5:F28,X15,Matches!K5:K28,X13)+SUMIFS(Matches!H5:H28,Matches!F5:F28,X15,Matches!K5:K28,X14)+SUMIFS(Matches!I5:I28,Matches!K5:K28,X15,Matches!F5:F28,X13)+SUMIFS(Matches!I5:I28,Matches!K5:K28,X15,Matches!F5:F28,X14)</f>
        <v>0</v>
      </c>
      <c r="AP15" s="22">
        <f>SUMIFS(Matches!H5:H28,Matches!F5:F28,X15,Matches!K5:K28,X13)+SUMIFS(Matches!H5:H28,Matches!F5:F28,X15,Matches!K5:K28,X14)+SUMIFS(Matches!I5:I28,Matches!K5:K28,X15,Matches!F5:F28,X13)+SUMIFS(Matches!I5:I28,Matches!K5:K28,X15,Matches!F5:F28,X14)</f>
        <v>0</v>
      </c>
      <c r="AQ15" s="22">
        <f t="shared" si="10"/>
        <v>0</v>
      </c>
      <c r="AR15" s="22">
        <f t="shared" si="11"/>
        <v>0</v>
      </c>
      <c r="AS15" s="22">
        <f t="shared" ref="AS15" si="98">IF(X15&lt;&gt;"",SUMPRODUCT((V12:V15=V15)*(AR12:AR15&gt;AR15)*1),0)</f>
        <v>0</v>
      </c>
      <c r="AT15" s="22">
        <f t="shared" ref="AT15" si="99">IF(X15&lt;&gt;"",SUMPRODUCT((AS12:AS15=AS15)*(AQ12:AQ15&gt;AQ15)*1),0)</f>
        <v>0</v>
      </c>
      <c r="AU15" s="22">
        <f t="shared" si="12"/>
        <v>0</v>
      </c>
      <c r="AV15" s="22">
        <f t="shared" ref="AV15" si="100">IF(X15&lt;&gt;"",SUMPRODUCT((AU12:AU15=AU15)*(AS12:AS15=AS15)*(AO12:AO15&gt;AO15)*1),0)</f>
        <v>0</v>
      </c>
      <c r="AW15" s="22">
        <f t="shared" si="13"/>
        <v>1</v>
      </c>
      <c r="AX15" s="22">
        <f>SUMPRODUCT((Matches!F5:F28=Y15)*(Matches!K5:K28=Y14)*(Matches!H5:H28&gt;Matches!I5:I28)*1)+SUMPRODUCT((Matches!K5:K28=Y15)*(Matches!F5:F28=Y14)*(Matches!I5:I28&gt;Matches!H5:H28)*1)</f>
        <v>0</v>
      </c>
      <c r="AY15" s="22">
        <f>SUMPRODUCT((Matches!F5:F28=Y15)*(Matches!K5:K28=Y14)*(Matches!H5:H28=Matches!I5:I28)*1)+SUMPRODUCT((Matches!K5:K28=Y15)*(Matches!F5:F28=Y14)*(Matches!I5:I28=Matches!H5:H28)*1)</f>
        <v>0</v>
      </c>
      <c r="AZ15" s="22">
        <f>SUMPRODUCT((Matches!F5:F28=Y15)*(Matches!K5:K28=Y14)*(Matches!H5:H28&lt;Matches!I5:I28)*1)+SUMPRODUCT((Matches!K5:K28=Y15)*(Matches!F5:F28=Y14)*(Matches!I5:I28&lt;Matches!H5:H28)*1)</f>
        <v>0</v>
      </c>
      <c r="BA15" s="22">
        <f>SUMIFS(Matches!H5:H28,Matches!F5:F28,Y15,Matches!K5:K28,Y14)+SUMIFS(Matches!I5:I28,Matches!K5:K28,Y15,Matches!F5:F28,Y14)</f>
        <v>0</v>
      </c>
      <c r="BB15" s="22">
        <f>SUMIFS(Matches!H5:H28,Matches!F5:F28,Y15,Matches!K5:K28,Y14)+SUMIFS(Matches!I5:I28,Matches!K5:K28,Y15,Matches!F5:F28,Y14)</f>
        <v>0</v>
      </c>
      <c r="BC15" s="22">
        <f t="shared" si="86"/>
        <v>0</v>
      </c>
      <c r="BD15" s="22">
        <f t="shared" si="87"/>
        <v>0</v>
      </c>
      <c r="BE15" s="22">
        <f t="shared" ref="BE15" si="101">IF(Y15&lt;&gt;"",SUMPRODUCT((AH12:AH15=AH15)*(BD12:BD15&gt;BD15)*1),0)</f>
        <v>0</v>
      </c>
      <c r="BF15" s="22">
        <f t="shared" ref="BF15" si="102">IF(Y15&lt;&gt;"",SUMPRODUCT((BE12:BE15=BE15)*(BC12:BC15&gt;BC15)*1),0)</f>
        <v>0</v>
      </c>
      <c r="BG15" s="22">
        <f t="shared" si="90"/>
        <v>0</v>
      </c>
      <c r="BH15" s="22">
        <f t="shared" ref="BH15" si="103">IF(Y15&lt;&gt;"",SUMPRODUCT((BG12:BG15=BG15)*(BE12:BE15=BE15)*(BA12:BA15&gt;BA15)*1),0)</f>
        <v>0</v>
      </c>
      <c r="BI15" s="22">
        <f t="shared" si="17"/>
        <v>1</v>
      </c>
      <c r="BJ15" s="22">
        <f>SUMPRODUCT((BI12:BI15=BI15)*(A12:A15&gt;A15)*1)</f>
        <v>3</v>
      </c>
      <c r="BK15" s="22">
        <f t="shared" si="14"/>
        <v>4</v>
      </c>
      <c r="BM15" s="192" t="s">
        <v>62</v>
      </c>
      <c r="BN15" s="193"/>
      <c r="BO15" s="194" t="str">
        <f>Calculator!C12</f>
        <v>United States</v>
      </c>
      <c r="BP15" s="195" t="s">
        <v>387</v>
      </c>
      <c r="BQ15" s="194"/>
      <c r="BR15" s="189">
        <v>9</v>
      </c>
      <c r="BS15" s="196">
        <v>-8</v>
      </c>
      <c r="BT15" s="22"/>
      <c r="BU15" s="10">
        <v>9</v>
      </c>
      <c r="BV15" s="197">
        <f t="shared" si="18"/>
        <v>45468.75</v>
      </c>
      <c r="BW15" s="198">
        <v>45468.75</v>
      </c>
      <c r="BX15" s="199">
        <f t="shared" si="19"/>
        <v>45468.75</v>
      </c>
      <c r="BZ15" s="189" t="str">
        <f>INDEX(Language!$A$1:$K$80,MATCH(Setup!B16,Language!$B$1:$B$80,0),MATCH(Setup!$C$5,Language!$A$1:$J$1,0))</f>
        <v>United States</v>
      </c>
    </row>
    <row r="16" spans="1:78" x14ac:dyDescent="0.25">
      <c r="A16" s="22">
        <f>INDEX(M4:M35,MATCH(U16,C4:C35,0),0)</f>
        <v>1812</v>
      </c>
      <c r="B16" s="22">
        <f t="shared" si="25"/>
        <v>1</v>
      </c>
      <c r="C16" s="22" t="str">
        <f t="shared" si="1"/>
        <v>Brazil</v>
      </c>
      <c r="D16" s="22">
        <f t="shared" si="2"/>
        <v>0</v>
      </c>
      <c r="E16" s="22">
        <f>SUMPRODUCT((Matches!H5:H28&lt;&gt;"")*(Matches!F5:F28=C16)*(Matches!H5:H28&gt;Matches!I5:I28)*1)+SUMPRODUCT((Matches!H5:H28&lt;&gt;"")*(Matches!K5:K28=C16)*(Matches!I5:I28&gt;Matches!H5:H28)*1)</f>
        <v>0</v>
      </c>
      <c r="F16" s="22">
        <f>SUMPRODUCT((Matches!H5:H28&lt;&gt;"")*(Matches!F5:F28=C16)*(Matches!H5:H28=Matches!I5:I28)*1)+SUMPRODUCT((Matches!H5:H28&lt;&gt;"")*(Matches!K5:K28=C16)*(Matches!H5:H28=Matches!I5:I28)*1)</f>
        <v>0</v>
      </c>
      <c r="G16" s="22">
        <f>SUMPRODUCT((Matches!H5:H28&lt;&gt;"")*(Matches!F5:F28=C16)*(Matches!H5:H28&lt;Matches!I5:I28)*1)+SUMPRODUCT((Matches!H5:H28&lt;&gt;"")*(Matches!K5:K28=C16)*(Matches!I5:I28&lt;Matches!H5:H28)*1)</f>
        <v>0</v>
      </c>
      <c r="H16" s="22">
        <f>SUMIF(Matches!F5:F28,C16,Matches!H5:H28)+SUMIF(Matches!K5:K28,C16,Matches!I5:I28)</f>
        <v>0</v>
      </c>
      <c r="I16" s="22">
        <f>SUMIF(Matches!F5:F28,C16,Matches!I5:I28)+SUMIF(Matches!K5:K28,C16,Matches!H5:H28)</f>
        <v>0</v>
      </c>
      <c r="J16" s="22">
        <f t="shared" si="3"/>
        <v>0</v>
      </c>
      <c r="K16" s="22">
        <f t="shared" si="4"/>
        <v>0</v>
      </c>
      <c r="L16" s="22">
        <f>Setup!E20</f>
        <v>1812</v>
      </c>
      <c r="M16" s="22">
        <f>IF(Setup!F20&lt;&gt;"",-Setup!F20,Setup!E20)</f>
        <v>1812</v>
      </c>
      <c r="N16" s="22">
        <f>RANK(K16,K16:K19)</f>
        <v>1</v>
      </c>
      <c r="O16" s="22">
        <f>SUMPRODUCT((N16:N19=N16)*(J16:J19&gt;J16)*1)</f>
        <v>0</v>
      </c>
      <c r="P16" s="22">
        <f t="shared" si="5"/>
        <v>1</v>
      </c>
      <c r="Q16" s="22">
        <f>SUMPRODUCT((N16:N19=N16)*(J16:J19=J16)*(H16:H19&gt;H16)*1)</f>
        <v>0</v>
      </c>
      <c r="R16" s="22">
        <f t="shared" si="6"/>
        <v>1</v>
      </c>
      <c r="S16" s="22">
        <f>RANK(R16,R16:R19,1)+COUNTIF(R16:R16,R16)-1</f>
        <v>1</v>
      </c>
      <c r="T16" s="22">
        <v>1</v>
      </c>
      <c r="U16" s="22" t="str">
        <f t="shared" ref="U16" si="104">INDEX(C16:C19,MATCH(T16,S16:S19,0),0)</f>
        <v>Brazil</v>
      </c>
      <c r="V16" s="22">
        <f>INDEX(R16:R19,MATCH(U16,C16:C19,0),0)</f>
        <v>1</v>
      </c>
      <c r="W16" s="22" t="str">
        <f t="shared" ref="W16" si="105">IF(V17=1,U16,"")</f>
        <v>Brazil</v>
      </c>
      <c r="Z16" s="22">
        <f>SUMPRODUCT((Matches!F5:F28=W16)*(Matches!K5:K28=W17)*(Matches!H5:H28&gt;Matches!I5:I28)*1)+SUMPRODUCT((Matches!K5:K28=W16)*(Matches!F5:F28=W17)*(Matches!I5:I28&gt;Matches!H5:H28)*1)+SUMPRODUCT((Matches!F5:F28=W16)*(Matches!K5:K28=W18)*(Matches!H5:H28&gt;Matches!I5:I28)*1)+SUMPRODUCT((Matches!K5:K28=W16)*(Matches!F5:F28=W18)*(Matches!I5:I28&gt;Matches!H5:H28)*1)+SUMPRODUCT((Matches!F5:F28=W16)*(Matches!K5:K28=W19)*(Matches!H5:H28&gt;Matches!I5:I28)*1)+SUMPRODUCT((Matches!K5:K28=W16)*(Matches!F5:F28=W19)*(Matches!I5:I28&gt;Matches!H5:H28)*1)</f>
        <v>0</v>
      </c>
      <c r="AA16" s="22">
        <f>SUMPRODUCT((Matches!F5:F28=W16)*(Matches!K5:K28=W17)*(Matches!H5:H28=Matches!I5:I28)*1)+SUMPRODUCT((Matches!K5:K28=W16)*(Matches!F5:F28=W17)*(Matches!H5:H28=Matches!I5:I28)*1)+SUMPRODUCT((Matches!F5:F28=W16)*(Matches!K5:K28=W18)*(Matches!H5:H28=Matches!I5:I28)*1)+SUMPRODUCT((Matches!K5:K28=W16)*(Matches!F5:F28=W18)*(Matches!H5:H28=Matches!I5:I28)*1)+SUMPRODUCT((Matches!F5:F28=W16)*(Matches!K5:K28=W19)*(Matches!H5:H28=Matches!I5:I28)*1)+SUMPRODUCT((Matches!K5:K28=W16)*(Matches!F5:F28=W19)*(Matches!H5:H28=Matches!I5:I28)*1)</f>
        <v>3</v>
      </c>
      <c r="AB16" s="22">
        <f>SUMPRODUCT((Matches!F5:F28=W16)*(Matches!K5:K28=W17)*(Matches!H5:H28&lt;Matches!I5:I28)*1)+SUMPRODUCT((Matches!K5:K28=W16)*(Matches!F5:F28=W17)*(Matches!I5:I28&lt;Matches!H5:H28)*1)+SUMPRODUCT((Matches!F5:F28=W16)*(Matches!K5:K28=W18)*(Matches!H5:H28&lt;Matches!I5:I28)*1)+SUMPRODUCT((Matches!K5:K28=W16)*(Matches!F5:F28=W18)*(Matches!I5:I28&lt;Matches!H5:H28)*1)+SUMPRODUCT((Matches!F5:F28=W16)*(Matches!K5:K28=W19)*(Matches!H5:H28&lt;Matches!I5:I28)*1)+SUMPRODUCT((Matches!K5:K28=W16)*(Matches!F5:F28=W19)*(Matches!I5:I28&lt;Matches!H5:H28)*1)</f>
        <v>0</v>
      </c>
      <c r="AC16" s="22">
        <f>SUMIFS(Matches!H5:H28,Matches!F5:F28,W16,Matches!K5:K28,W17)+SUMIFS(Matches!H5:H28,Matches!F5:F28,W16,Matches!K5:K28,W18)+SUMIFS(Matches!H5:H28,Matches!F5:F28,W16,Matches!K5:K28,W19)+SUMIFS(Matches!I5:I28,Matches!K5:K28,W16,Matches!F5:F28,W17)+SUMIFS(Matches!I5:I28,Matches!K5:K28,W16,Matches!F5:F28,W18)+SUMIFS(Matches!I5:I28,Matches!K5:K28,W16,Matches!F5:F28,W19)</f>
        <v>0</v>
      </c>
      <c r="AD16" s="22">
        <f>SUMIFS(Matches!I5:I28,Matches!F5:F28,W16,Matches!K5:K28,W17)+SUMIFS(Matches!I5:I28,Matches!F5:F28,W16,Matches!K5:K28,W18)+SUMIFS(Matches!I5:I28,Matches!F5:F28,W16,Matches!K5:K28,W19)+SUMIFS(Matches!H5:H28,Matches!K5:K28,W16,Matches!F5:F28,W17)+SUMIFS(Matches!H5:H28,Matches!K5:K28,W16,Matches!F5:F28,W18)+SUMIFS(Matches!H5:H28,Matches!K5:K28,W16,Matches!F5:F28,W19)</f>
        <v>0</v>
      </c>
      <c r="AE16" s="22">
        <f t="shared" si="7"/>
        <v>0</v>
      </c>
      <c r="AF16" s="22">
        <f t="shared" si="8"/>
        <v>3</v>
      </c>
      <c r="AG16" s="22">
        <f t="shared" ref="AG16" si="106">IF(W16&lt;&gt;"",SUMPRODUCT((V16:V19=V16)*(AF16:AF19&gt;AF16)*1),0)</f>
        <v>0</v>
      </c>
      <c r="AH16" s="22">
        <f t="shared" ref="AH16" si="107">IF(W16&lt;&gt;"",SUMPRODUCT((AG16:AG19=AG16)*(AE16:AE19&gt;AE16)*1),0)</f>
        <v>0</v>
      </c>
      <c r="AI16" s="22">
        <f t="shared" si="0"/>
        <v>0</v>
      </c>
      <c r="AJ16" s="22">
        <f t="shared" ref="AJ16" si="108">IF(W16&lt;&gt;"",SUMPRODUCT((AI16:AI19=AI16)*(AG16:AG19=AG16)*(AC16:AC19&gt;AC16)*1),0)</f>
        <v>0</v>
      </c>
      <c r="AK16" s="22">
        <f t="shared" si="9"/>
        <v>1</v>
      </c>
      <c r="AL16" s="22">
        <v>0</v>
      </c>
      <c r="AM16" s="22">
        <v>0</v>
      </c>
      <c r="AN16" s="22">
        <v>0</v>
      </c>
      <c r="AO16" s="22">
        <v>0</v>
      </c>
      <c r="AP16" s="22">
        <v>0</v>
      </c>
      <c r="AQ16" s="22">
        <f t="shared" si="10"/>
        <v>0</v>
      </c>
      <c r="AR16" s="22">
        <f t="shared" si="11"/>
        <v>0</v>
      </c>
      <c r="AS16" s="22">
        <v>0</v>
      </c>
      <c r="AT16" s="22">
        <v>0</v>
      </c>
      <c r="AU16" s="22">
        <f t="shared" si="12"/>
        <v>0</v>
      </c>
      <c r="AV16" s="22">
        <v>0</v>
      </c>
      <c r="AW16" s="22">
        <f t="shared" si="13"/>
        <v>1</v>
      </c>
      <c r="AX16" s="22">
        <v>0</v>
      </c>
      <c r="AY16" s="22">
        <v>0</v>
      </c>
      <c r="AZ16" s="22">
        <v>0</v>
      </c>
      <c r="BA16" s="22">
        <v>0</v>
      </c>
      <c r="BB16" s="22">
        <v>0</v>
      </c>
      <c r="BC16" s="22">
        <v>0</v>
      </c>
      <c r="BD16" s="22">
        <v>0</v>
      </c>
      <c r="BE16" s="22">
        <v>0</v>
      </c>
      <c r="BF16" s="22">
        <v>0</v>
      </c>
      <c r="BG16" s="22">
        <v>0</v>
      </c>
      <c r="BH16" s="22">
        <v>0</v>
      </c>
      <c r="BI16" s="22">
        <f t="shared" si="17"/>
        <v>1</v>
      </c>
      <c r="BJ16" s="22">
        <f>SUMPRODUCT((BI16:BI19=BI16)*(A16:A19&gt;A16)*1)</f>
        <v>0</v>
      </c>
      <c r="BK16" s="22">
        <f t="shared" si="14"/>
        <v>1</v>
      </c>
      <c r="BM16" s="192"/>
      <c r="BN16" s="193"/>
      <c r="BO16" s="194" t="str">
        <f>Calculator!C13</f>
        <v>Uruguay</v>
      </c>
      <c r="BP16" s="195" t="s">
        <v>388</v>
      </c>
      <c r="BQ16" s="194"/>
      <c r="BR16" s="189">
        <v>10</v>
      </c>
      <c r="BS16" s="196">
        <v>-7.5</v>
      </c>
      <c r="BT16" s="22"/>
      <c r="BU16" s="10">
        <v>10</v>
      </c>
      <c r="BV16" s="197">
        <f t="shared" si="18"/>
        <v>45468.875</v>
      </c>
      <c r="BW16" s="198">
        <v>45468.875</v>
      </c>
      <c r="BX16" s="199">
        <f t="shared" si="19"/>
        <v>45468.875</v>
      </c>
      <c r="BZ16" s="189" t="str">
        <f>INDEX(Language!$A$1:$K$80,MATCH(Setup!B17,Language!$B$1:$B$80,0),MATCH(Setup!$C$5,Language!$A$1:$J$1,0))</f>
        <v>Uruguay</v>
      </c>
    </row>
    <row r="17" spans="1:78" x14ac:dyDescent="0.25">
      <c r="A17" s="22">
        <f>INDEX(M4:M35,MATCH(U17,C4:C35,0),0)</f>
        <v>1627</v>
      </c>
      <c r="B17" s="22">
        <f t="shared" si="25"/>
        <v>2</v>
      </c>
      <c r="C17" s="22" t="str">
        <f t="shared" si="1"/>
        <v>Colombia</v>
      </c>
      <c r="D17" s="22">
        <f t="shared" si="2"/>
        <v>0</v>
      </c>
      <c r="E17" s="22">
        <f>SUMPRODUCT((Matches!H5:H28&lt;&gt;"")*(Matches!F5:F28=C17)*(Matches!H5:H28&gt;Matches!I5:I28)*1)+SUMPRODUCT((Matches!H5:H28&lt;&gt;"")*(Matches!K5:K28=C17)*(Matches!I5:I28&gt;Matches!H5:H28)*1)</f>
        <v>0</v>
      </c>
      <c r="F17" s="22">
        <f>SUMPRODUCT((Matches!H5:H28&lt;&gt;"")*(Matches!F5:F28=C17)*(Matches!H5:H28=Matches!I5:I28)*1)+SUMPRODUCT((Matches!H5:H28&lt;&gt;"")*(Matches!K5:K28=C17)*(Matches!H5:H28=Matches!I5:I28)*1)</f>
        <v>0</v>
      </c>
      <c r="G17" s="22">
        <f>SUMPRODUCT((Matches!H5:H28&lt;&gt;"")*(Matches!F5:F28=C17)*(Matches!H5:H28&lt;Matches!I5:I28)*1)+SUMPRODUCT((Matches!H5:H28&lt;&gt;"")*(Matches!K5:K28=C17)*(Matches!I5:I28&lt;Matches!H5:H28)*1)</f>
        <v>0</v>
      </c>
      <c r="H17" s="22">
        <f>SUMIF(Matches!F5:F28,C17,Matches!H5:H28)+SUMIF(Matches!K5:K28,C17,Matches!I5:I28)</f>
        <v>0</v>
      </c>
      <c r="I17" s="22">
        <f>SUMIF(Matches!F5:F28,C17,Matches!I5:I28)+SUMIF(Matches!K5:K28,C17,Matches!H5:H28)</f>
        <v>0</v>
      </c>
      <c r="J17" s="22">
        <f t="shared" si="3"/>
        <v>0</v>
      </c>
      <c r="K17" s="22">
        <f t="shared" si="4"/>
        <v>0</v>
      </c>
      <c r="L17" s="22">
        <f>Setup!E21</f>
        <v>1627</v>
      </c>
      <c r="M17" s="22">
        <f>IF(Setup!F21&lt;&gt;"",-Setup!F21,Setup!E21)</f>
        <v>1627</v>
      </c>
      <c r="N17" s="22">
        <f>RANK(K17,K16:K19)</f>
        <v>1</v>
      </c>
      <c r="O17" s="22">
        <f>SUMPRODUCT((N16:N19=N17)*(J16:J19&gt;J17)*1)</f>
        <v>0</v>
      </c>
      <c r="P17" s="22">
        <f t="shared" si="5"/>
        <v>1</v>
      </c>
      <c r="Q17" s="22">
        <f>SUMPRODUCT((N16:N19=N17)*(J16:J19=J17)*(H16:H19&gt;H17)*1)</f>
        <v>0</v>
      </c>
      <c r="R17" s="22">
        <f t="shared" si="6"/>
        <v>1</v>
      </c>
      <c r="S17" s="22">
        <f>RANK(R17,R16:R19,1)+COUNTIF(R16:R17,R17)-1</f>
        <v>2</v>
      </c>
      <c r="T17" s="22">
        <v>2</v>
      </c>
      <c r="U17" s="22" t="str">
        <f t="shared" ref="U17" si="109">INDEX(C16:C19,MATCH(T17,S16:S19,0),0)</f>
        <v>Colombia</v>
      </c>
      <c r="V17" s="22">
        <f>INDEX(R16:R19,MATCH(U17,C16:C19,0),0)</f>
        <v>1</v>
      </c>
      <c r="W17" s="22" t="str">
        <f t="shared" ref="W17" si="110">IF(W16&lt;&gt;"",U17,"")</f>
        <v>Colombia</v>
      </c>
      <c r="X17" s="22" t="str">
        <f t="shared" ref="X17" si="111">IF(V18=2,U17,"")</f>
        <v/>
      </c>
      <c r="Z17" s="22">
        <f>SUMPRODUCT((Matches!F5:F28=W17)*(Matches!K5:K28=W16)*(Matches!H5:H28&gt;Matches!I5:I28)*1)+SUMPRODUCT((Matches!K5:K28=W17)*(Matches!F5:F28=W16)*(Matches!I5:I28&gt;Matches!H5:H28)*1)+SUMPRODUCT((Matches!F5:F28=W17)*(Matches!K5:K28=W18)*(Matches!H5:H28&gt;Matches!I5:I28)*1)+SUMPRODUCT((Matches!K5:K28=W17)*(Matches!F5:F28=W18)*(Matches!I5:I28&gt;Matches!H5:H28)*1)+SUMPRODUCT((Matches!F5:F28=W17)*(Matches!K5:K28=W19)*(Matches!H5:H28&gt;Matches!I5:I28)*1)+SUMPRODUCT((Matches!K5:K28=W17)*(Matches!F5:F28=W19)*(Matches!I5:I28&gt;Matches!H5:H28)*1)</f>
        <v>0</v>
      </c>
      <c r="AA17" s="22">
        <f>SUMPRODUCT((Matches!F5:F28=W17)*(Matches!K5:K28=W16)*(Matches!H5:H28=Matches!I5:I28)*1)+SUMPRODUCT((Matches!K5:K28=W17)*(Matches!F5:F28=W16)*(Matches!H5:H28=Matches!I5:I28)*1)+SUMPRODUCT((Matches!F5:F28=W17)*(Matches!K5:K28=W18)*(Matches!H5:H28=Matches!I5:I28)*1)+SUMPRODUCT((Matches!K5:K28=W17)*(Matches!F5:F28=W18)*(Matches!H5:H28=Matches!I5:I28)*1)+SUMPRODUCT((Matches!F5:F28=W17)*(Matches!K5:K28=W19)*(Matches!H5:H28=Matches!I5:I28)*1)+SUMPRODUCT((Matches!K5:K28=W17)*(Matches!F5:F28=W19)*(Matches!H5:H28=Matches!I5:I28)*1)</f>
        <v>3</v>
      </c>
      <c r="AB17" s="22">
        <f>SUMPRODUCT((Matches!F5:F28=W17)*(Matches!K5:K28=W16)*(Matches!H5:H28&lt;Matches!I5:I28)*1)+SUMPRODUCT((Matches!K5:K28=W17)*(Matches!F5:F28=W16)*(Matches!I5:I28&lt;Matches!H5:H28)*1)+SUMPRODUCT((Matches!F5:F28=W17)*(Matches!K5:K28=W18)*(Matches!H5:H28&lt;Matches!I5:I28)*1)+SUMPRODUCT((Matches!K5:K28=W17)*(Matches!F5:F28=W18)*(Matches!I5:I28&lt;Matches!H5:H28)*1)+SUMPRODUCT((Matches!F5:F28=W17)*(Matches!K5:K28=W19)*(Matches!H5:H28&lt;Matches!I5:I28)*1)+SUMPRODUCT((Matches!K5:K28=W17)*(Matches!F5:F28=W19)*(Matches!I5:I28&lt;Matches!H5:H28)*1)</f>
        <v>0</v>
      </c>
      <c r="AC17" s="22">
        <f>SUMIFS(Matches!H5:H28,Matches!F5:F28,W17,Matches!K5:K28,W16)+SUMIFS(Matches!H5:H28,Matches!F5:F28,W17,Matches!K5:K28,W18)+SUMIFS(Matches!H5:H28,Matches!F5:F28,W17,Matches!K5:K28,W19)+SUMIFS(Matches!I5:I28,Matches!K5:K28,W17,Matches!F5:F28,W16)+SUMIFS(Matches!I5:I28,Matches!K5:K28,W17,Matches!F5:F28,W18)+SUMIFS(Matches!I5:I28,Matches!K5:K28,W17,Matches!F5:F28,W19)</f>
        <v>0</v>
      </c>
      <c r="AD17" s="22">
        <f>SUMIFS(Matches!I5:I28,Matches!F5:F28,W17,Matches!K5:K28,W16)+SUMIFS(Matches!I5:I28,Matches!F5:F28,W17,Matches!K5:K28,W18)+SUMIFS(Matches!I5:I28,Matches!F5:F28,W17,Matches!K5:K28,W19)+SUMIFS(Matches!H5:H28,Matches!K5:K28,W17,Matches!F5:F28,W16)+SUMIFS(Matches!H5:H28,Matches!K5:K28,W17,Matches!F5:F28,W18)+SUMIFS(Matches!H5:H28,Matches!K5:K28,W17,Matches!F5:F28,W19)</f>
        <v>0</v>
      </c>
      <c r="AE17" s="22">
        <f t="shared" si="7"/>
        <v>0</v>
      </c>
      <c r="AF17" s="22">
        <f t="shared" si="8"/>
        <v>3</v>
      </c>
      <c r="AG17" s="22">
        <f t="shared" ref="AG17" si="112">IF(W17&lt;&gt;"",SUMPRODUCT((V16:V19=V17)*(AF16:AF19&gt;AF17)*1),0)</f>
        <v>0</v>
      </c>
      <c r="AH17" s="22">
        <f t="shared" ref="AH17" si="113">IF(W17&lt;&gt;"",SUMPRODUCT((AG16:AG19=AG17)*(AE16:AE19&gt;AE17)*1),0)</f>
        <v>0</v>
      </c>
      <c r="AI17" s="22">
        <f t="shared" si="0"/>
        <v>0</v>
      </c>
      <c r="AJ17" s="22">
        <f t="shared" ref="AJ17" si="114">IF(W17&lt;&gt;"",SUMPRODUCT((AI16:AI19=AI17)*(AG16:AG19=AG17)*(AC16:AC19&gt;AC17)*1),0)</f>
        <v>0</v>
      </c>
      <c r="AK17" s="22">
        <f t="shared" si="9"/>
        <v>1</v>
      </c>
      <c r="AL17" s="22">
        <f>SUMPRODUCT((Matches!F5:F28=X17)*(Matches!K5:K28=X18)*(Matches!H5:H28&gt;Matches!I5:I28)*1)+SUMPRODUCT((Matches!K5:K28=X17)*(Matches!F5:F28=X18)*(Matches!I5:I28&gt;Matches!H5:H28)*1)+SUMPRODUCT((Matches!F5:F28=X17)*(Matches!K5:K28=X19)*(Matches!H5:H28&gt;Matches!I5:I28)*1)+SUMPRODUCT((Matches!K5:K28=X17)*(Matches!F5:F28=X19)*(Matches!I5:I28&gt;Matches!H5:H28)*1)</f>
        <v>0</v>
      </c>
      <c r="AM17" s="22">
        <f>SUMPRODUCT((Matches!F5:F28=X17)*(Matches!K5:K28=X18)*(Matches!H5:H28=Matches!I5:I28)*1)+SUMPRODUCT((Matches!K5:K28=X17)*(Matches!F5:F28=X18)*(Matches!H5:H28=Matches!I5:I28)*1)+SUMPRODUCT((Matches!F5:F28=X17)*(Matches!K5:K28=X19)*(Matches!H5:H28=Matches!I5:I28)*1)+SUMPRODUCT((Matches!K5:K28=X17)*(Matches!F5:F28=X19)*(Matches!H5:H28=Matches!I5:I28)*1)</f>
        <v>0</v>
      </c>
      <c r="AN17" s="22">
        <f>SUMPRODUCT((Matches!F5:F28=X17)*(Matches!K5:K28=X18)*(Matches!H5:H28&lt;Matches!I5:I28)*1)+SUMPRODUCT((Matches!K5:K28=X17)*(Matches!F5:F28=X18)*(Matches!I5:I28&lt;Matches!H5:H28)*1)+SUMPRODUCT((Matches!F5:F28=X17)*(Matches!K5:K28=X19)*(Matches!H5:H28&lt;Matches!I5:I28)*1)+SUMPRODUCT((Matches!K5:K28=X17)*(Matches!F5:F28=X19)*(Matches!I5:I28&lt;Matches!H5:H28)*1)</f>
        <v>0</v>
      </c>
      <c r="AO17" s="22">
        <f>SUMIFS(Matches!H5:H28,Matches!F5:F28,X17,Matches!K5:K28,X18)+SUMIFS(Matches!H5:H28,Matches!F5:F28,X17,Matches!K5:K28,X19)+SUMIFS(Matches!I5:I28,Matches!K5:K28,X17,Matches!F5:F28,X18)+SUMIFS(Matches!I5:I28,Matches!K5:K28,X17,Matches!F5:F28,X19)</f>
        <v>0</v>
      </c>
      <c r="AP17" s="22">
        <f>SUMIFS(Matches!I5:I28,Matches!F5:F28,X17,Matches!K5:K28,X18)+SUMIFS(Matches!I5:I28,Matches!F5:F28,X17,Matches!K5:K28,X19)+SUMIFS(Matches!H5:H28,Matches!K5:K28,X17,Matches!F5:F28,X18)+SUMIFS(Matches!H5:H28,Matches!K5:K28,X17,Matches!F5:F28,X19)</f>
        <v>0</v>
      </c>
      <c r="AQ17" s="22">
        <f t="shared" si="10"/>
        <v>0</v>
      </c>
      <c r="AR17" s="22">
        <f t="shared" si="11"/>
        <v>0</v>
      </c>
      <c r="AS17" s="22">
        <f t="shared" ref="AS17" si="115">IF(X17&lt;&gt;"",SUMPRODUCT((V16:V19=V17)*(AR16:AR19&gt;AR17)*1),0)</f>
        <v>0</v>
      </c>
      <c r="AT17" s="22">
        <f t="shared" ref="AT17" si="116">IF(X17&lt;&gt;"",SUMPRODUCT((AS16:AS19=AS17)*(AQ16:AQ19&gt;AQ17)*1),0)</f>
        <v>0</v>
      </c>
      <c r="AU17" s="22">
        <f t="shared" si="12"/>
        <v>0</v>
      </c>
      <c r="AV17" s="22">
        <f t="shared" ref="AV17" si="117">IF(X17&lt;&gt;"",SUMPRODUCT((AU16:AU19=AU17)*(AS16:AS19=AS17)*(AO16:AO19&gt;AO17)*1),0)</f>
        <v>0</v>
      </c>
      <c r="AW17" s="22">
        <f t="shared" si="13"/>
        <v>1</v>
      </c>
      <c r="AX17" s="22">
        <v>0</v>
      </c>
      <c r="AY17" s="22">
        <v>0</v>
      </c>
      <c r="AZ17" s="22">
        <v>0</v>
      </c>
      <c r="BA17" s="22">
        <v>0</v>
      </c>
      <c r="BB17" s="22">
        <v>0</v>
      </c>
      <c r="BC17" s="22">
        <v>0</v>
      </c>
      <c r="BD17" s="22">
        <v>0</v>
      </c>
      <c r="BE17" s="22">
        <v>0</v>
      </c>
      <c r="BF17" s="22">
        <v>0</v>
      </c>
      <c r="BG17" s="22">
        <v>0</v>
      </c>
      <c r="BH17" s="22">
        <v>0</v>
      </c>
      <c r="BI17" s="22">
        <f t="shared" si="17"/>
        <v>1</v>
      </c>
      <c r="BJ17" s="22">
        <f>SUMPRODUCT((BI16:BI19=BI17)*(A16:A19&gt;A17)*1)</f>
        <v>1</v>
      </c>
      <c r="BK17" s="22">
        <f t="shared" si="14"/>
        <v>2</v>
      </c>
      <c r="BM17" s="192"/>
      <c r="BN17" s="193"/>
      <c r="BO17" s="194" t="str">
        <f>Calculator!C14</f>
        <v>Panama</v>
      </c>
      <c r="BP17" s="195" t="s">
        <v>389</v>
      </c>
      <c r="BQ17" s="194"/>
      <c r="BR17" s="189">
        <v>11</v>
      </c>
      <c r="BS17" s="196">
        <v>-7</v>
      </c>
      <c r="BT17" s="22"/>
      <c r="BU17" s="10">
        <v>11</v>
      </c>
      <c r="BV17" s="197">
        <f t="shared" si="18"/>
        <v>45469.75</v>
      </c>
      <c r="BW17" s="198">
        <v>45469.75</v>
      </c>
      <c r="BX17" s="199">
        <f t="shared" si="19"/>
        <v>45469.75</v>
      </c>
      <c r="BZ17" s="189" t="str">
        <f>INDEX(Language!$A$1:$K$80,MATCH(Setup!B18,Language!$B$1:$B$80,0),MATCH(Setup!$C$5,Language!$A$1:$J$1,0))</f>
        <v>Panama</v>
      </c>
    </row>
    <row r="18" spans="1:78" x14ac:dyDescent="0.25">
      <c r="A18" s="22">
        <f>INDEX(M4:M35,MATCH(U18,C4:C35,0),0)</f>
        <v>1437</v>
      </c>
      <c r="B18" s="22">
        <f t="shared" si="25"/>
        <v>3</v>
      </c>
      <c r="C18" s="22" t="str">
        <f>IF(License!G14="Musa",BZ21,BZ20)</f>
        <v>Paraguay</v>
      </c>
      <c r="D18" s="22">
        <f t="shared" si="2"/>
        <v>0</v>
      </c>
      <c r="E18" s="22">
        <f>SUMPRODUCT((Matches!H5:H28&lt;&gt;"")*(Matches!F5:F28=C18)*(Matches!H5:H28&gt;Matches!I5:I28)*1)+SUMPRODUCT((Matches!H5:H28&lt;&gt;"")*(Matches!K5:K28=C18)*(Matches!I5:I28&gt;Matches!H5:H28)*1)</f>
        <v>0</v>
      </c>
      <c r="F18" s="22">
        <f>SUMPRODUCT((Matches!H5:H28&lt;&gt;"")*(Matches!F5:F28=C18)*(Matches!H5:H28=Matches!I5:I28)*1)+SUMPRODUCT((Matches!H5:H28&lt;&gt;"")*(Matches!K5:K28=C18)*(Matches!H5:H28=Matches!I5:I28)*1)</f>
        <v>0</v>
      </c>
      <c r="G18" s="22">
        <f>SUMPRODUCT((Matches!H5:H28&lt;&gt;"")*(Matches!F5:F28=C18)*(Matches!H5:H28&lt;Matches!I5:I28)*1)+SUMPRODUCT((Matches!H5:H28&lt;&gt;"")*(Matches!K5:K28=C18)*(Matches!I5:I28&lt;Matches!H5:H28)*1)</f>
        <v>0</v>
      </c>
      <c r="H18" s="22">
        <f>SUMIF(Matches!F5:F28,C18,Matches!H5:H28)+SUMIF(Matches!K5:K28,C18,Matches!I5:I28)</f>
        <v>0</v>
      </c>
      <c r="I18" s="22">
        <f>SUMIF(Matches!F5:F28,C18,Matches!I5:I28)+SUMIF(Matches!K5:K28,C18,Matches!H5:H28)</f>
        <v>0</v>
      </c>
      <c r="J18" s="22">
        <f t="shared" si="3"/>
        <v>0</v>
      </c>
      <c r="K18" s="22">
        <f t="shared" si="4"/>
        <v>0</v>
      </c>
      <c r="L18" s="22">
        <f>Setup!E22</f>
        <v>1437</v>
      </c>
      <c r="M18" s="22">
        <f>IF(Setup!F22&lt;&gt;"",-Setup!F22,Setup!E22)</f>
        <v>1437</v>
      </c>
      <c r="N18" s="22">
        <f>RANK(K18,K16:K19)</f>
        <v>1</v>
      </c>
      <c r="O18" s="22">
        <f>SUMPRODUCT((N16:N19=N18)*(J16:J19&gt;J18)*1)</f>
        <v>0</v>
      </c>
      <c r="P18" s="22">
        <f t="shared" si="5"/>
        <v>1</v>
      </c>
      <c r="Q18" s="22">
        <f>SUMPRODUCT((N16:N19=N18)*(J16:J19=J18)*(H16:H19&gt;H18)*1)</f>
        <v>0</v>
      </c>
      <c r="R18" s="22">
        <f t="shared" si="6"/>
        <v>1</v>
      </c>
      <c r="S18" s="22">
        <f>RANK(R18,R16:R19,1)+COUNTIF(R16:R18,R18)-1</f>
        <v>3</v>
      </c>
      <c r="T18" s="22">
        <v>3</v>
      </c>
      <c r="U18" s="22" t="str">
        <f t="shared" ref="U18" si="118">INDEX(C16:C19,MATCH(T18,S16:S19,0),0)</f>
        <v>Paraguay</v>
      </c>
      <c r="V18" s="22">
        <f>INDEX(R16:R19,MATCH(U18,C16:C19,0),0)</f>
        <v>1</v>
      </c>
      <c r="W18" s="22" t="str">
        <f t="shared" ref="W18:W19" si="119">IF(AND(W17&lt;&gt;"",V18=1),U18,"")</f>
        <v>Paraguay</v>
      </c>
      <c r="X18" s="22" t="str">
        <f t="shared" ref="X18" si="120">IF(X17&lt;&gt;"",U18,"")</f>
        <v/>
      </c>
      <c r="Y18" s="22" t="str">
        <f t="shared" ref="Y18" si="121">IF(V19=3,U18,"")</f>
        <v/>
      </c>
      <c r="Z18" s="22">
        <f>SUMPRODUCT((Matches!F5:F28=W18)*(Matches!K5:K28=W16)*(Matches!H5:H28&gt;Matches!I5:I28)*1)+SUMPRODUCT((Matches!K5:K28=W18)*(Matches!F5:F28=W16)*(Matches!I5:I28&gt;Matches!H5:H28)*1)+SUMPRODUCT((Matches!F5:F28=W18)*(Matches!K5:K28=W17)*(Matches!H5:H28&gt;Matches!I5:I28)*1)+SUMPRODUCT((Matches!K5:K28=W18)*(Matches!F5:F28=W17)*(Matches!I5:I28&gt;Matches!H5:H28)*1)+SUMPRODUCT((Matches!F5:F28=W18)*(Matches!K5:K28=W19)*(Matches!H5:H28&gt;Matches!I5:I28)*1)+SUMPRODUCT((Matches!K5:K28=W18)*(Matches!F5:F28=W19)*(Matches!I5:I28&gt;Matches!H5:H28)*1)</f>
        <v>0</v>
      </c>
      <c r="AA18" s="22">
        <f>SUMPRODUCT((Matches!F5:F28=W18)*(Matches!K5:K28=W16)*(Matches!H5:H28=Matches!I5:I28)*1)+SUMPRODUCT((Matches!K5:K28=W18)*(Matches!F5:F28=W16)*(Matches!H5:H28=Matches!I5:I28)*1)+SUMPRODUCT((Matches!F5:F28=W18)*(Matches!K5:K28=W17)*(Matches!H5:H28=Matches!I5:I28)*1)+SUMPRODUCT((Matches!K5:K28=W18)*(Matches!F5:F28=W17)*(Matches!H5:H28=Matches!I5:I28)*1)+SUMPRODUCT((Matches!F5:F28=W18)*(Matches!K5:K28=W19)*(Matches!H5:H28=Matches!I5:I28)*1)+SUMPRODUCT((Matches!K5:K28=W18)*(Matches!F5:F28=W19)*(Matches!H5:H28=Matches!I5:I28)*1)</f>
        <v>3</v>
      </c>
      <c r="AB18" s="22">
        <f>SUMPRODUCT((Matches!F5:F28=W18)*(Matches!K5:K28=W16)*(Matches!H5:H28&lt;Matches!I5:I28)*1)+SUMPRODUCT((Matches!K5:K28=W18)*(Matches!F5:F28=W16)*(Matches!I5:I28&lt;Matches!H5:H28)*1)+SUMPRODUCT((Matches!F5:F28=W18)*(Matches!K5:K28=W17)*(Matches!H5:H28&lt;Matches!I5:I28)*1)+SUMPRODUCT((Matches!K5:K28=W18)*(Matches!F5:F28=W17)*(Matches!I5:I28&lt;Matches!H5:H28)*1)+SUMPRODUCT((Matches!F5:F28=W18)*(Matches!K5:K28=W19)*(Matches!H5:H28&lt;Matches!I5:I28)*1)+SUMPRODUCT((Matches!K5:K28=W18)*(Matches!F5:F28=W19)*(Matches!I5:I28&lt;Matches!H5:H28)*1)</f>
        <v>0</v>
      </c>
      <c r="AC18" s="22">
        <f>SUMIFS(Matches!H5:H28,Matches!F5:F28,W18,Matches!K5:K28,W16)+SUMIFS(Matches!H5:H28,Matches!F5:F28,W18,Matches!K5:K28,W17)+SUMIFS(Matches!H5:H28,Matches!F5:F28,W18,Matches!K5:K28,W19)+SUMIFS(Matches!I5:I28,Matches!K5:K28,W18,Matches!F5:F28,W16)+SUMIFS(Matches!I5:I28,Matches!K5:K28,W18,Matches!F5:F28,W17)+SUMIFS(Matches!I5:I28,Matches!K5:K28,W18,Matches!F5:F28,W19)</f>
        <v>0</v>
      </c>
      <c r="AD18" s="22">
        <f>SUMIFS(Matches!I5:I28,Matches!F5:F28,W18,Matches!K5:K28,W16)+SUMIFS(Matches!I5:I28,Matches!F5:F28,W18,Matches!K5:K28,W17)+SUMIFS(Matches!I5:I28,Matches!F5:F28,W18,Matches!K5:K28,W19)+SUMIFS(Matches!H5:H28,Matches!K5:K28,W18,Matches!F5:F28,W16)+SUMIFS(Matches!H5:H28,Matches!K5:K28,W18,Matches!F5:F28,W17)+SUMIFS(Matches!H5:H28,Matches!K5:K28,W18,Matches!F5:F28,W19)</f>
        <v>0</v>
      </c>
      <c r="AE18" s="22">
        <f t="shared" si="7"/>
        <v>0</v>
      </c>
      <c r="AF18" s="22">
        <f t="shared" si="8"/>
        <v>3</v>
      </c>
      <c r="AG18" s="22">
        <f t="shared" ref="AG18" si="122">IF(W18&lt;&gt;"",SUMPRODUCT((V16:V19=V18)*(AF16:AF19&gt;AF18)*1),0)</f>
        <v>0</v>
      </c>
      <c r="AH18" s="22">
        <f t="shared" ref="AH18" si="123">IF(W18&lt;&gt;"",SUMPRODUCT((AG16:AG19=AG18)*(AE16:AE19&gt;AE18)*1),0)</f>
        <v>0</v>
      </c>
      <c r="AI18" s="22">
        <f t="shared" si="0"/>
        <v>0</v>
      </c>
      <c r="AJ18" s="22">
        <f t="shared" ref="AJ18" si="124">IF(W18&lt;&gt;"",SUMPRODUCT((AI16:AI19=AI18)*(AG16:AG19=AG18)*(AC16:AC19&gt;AC18)*1),0)</f>
        <v>0</v>
      </c>
      <c r="AK18" s="22">
        <f t="shared" si="9"/>
        <v>1</v>
      </c>
      <c r="AL18" s="22">
        <f>SUMPRODUCT((Matches!F5:F28=X18)*(Matches!K5:K28=X17)*(Matches!H5:H28&gt;Matches!I5:I28)*1)+SUMPRODUCT((Matches!K5:K28=X18)*(Matches!F5:F28=X17)*(Matches!I5:I28&gt;Matches!H5:H28)*1)+SUMPRODUCT((Matches!F5:F28=X18)*(Matches!K5:K28=X19)*(Matches!H5:H28&gt;Matches!I5:I28)*1)+SUMPRODUCT((Matches!K5:K28=X18)*(Matches!F5:F28=X19)*(Matches!I5:I28&gt;Matches!H5:H28)*1)</f>
        <v>0</v>
      </c>
      <c r="AM18" s="22">
        <f>SUMPRODUCT((Matches!F5:F28=X18)*(Matches!K5:K28=X17)*(Matches!H5:H28=Matches!I5:I28)*1)+SUMPRODUCT((Matches!K5:K28=X18)*(Matches!F5:F28=X17)*(Matches!H5:H28=Matches!I5:I28)*1)+SUMPRODUCT((Matches!F5:F28=X18)*(Matches!K5:K28=X19)*(Matches!H5:H28=Matches!I5:I28)*1)+SUMPRODUCT((Matches!K5:K28=X18)*(Matches!F5:F28=X19)*(Matches!H5:H28=Matches!I5:I28)*1)</f>
        <v>0</v>
      </c>
      <c r="AN18" s="22">
        <f>SUMPRODUCT((Matches!F5:F28=X18)*(Matches!K5:K28=X17)*(Matches!H5:H28&lt;Matches!I5:I28)*1)+SUMPRODUCT((Matches!K5:K28=X18)*(Matches!F5:F28=X17)*(Matches!I5:I28&lt;Matches!H5:H28)*1)+SUMPRODUCT((Matches!F5:F28=X18)*(Matches!K5:K28=X19)*(Matches!H5:H28&lt;Matches!I5:I28)*1)+SUMPRODUCT((Matches!K5:K28=X18)*(Matches!F5:F28=X19)*(Matches!I5:I28&lt;Matches!H5:H28)*1)</f>
        <v>0</v>
      </c>
      <c r="AO18" s="22">
        <f>SUMIFS(Matches!H5:H28,Matches!F5:F28,X18,Matches!K5:K28,X17)+SUMIFS(Matches!H5:H28,Matches!F5:F28,X18,Matches!K5:K28,X19)+SUMIFS(Matches!I5:I28,Matches!K5:K28,X18,Matches!F5:F28,X17)+SUMIFS(Matches!I5:I28,Matches!K5:K28,X18,Matches!F5:F28,X19)</f>
        <v>0</v>
      </c>
      <c r="AP18" s="22">
        <f>SUMIFS(Matches!I5:I28,Matches!F5:F28,X18,Matches!K5:K28,X17)+SUMIFS(Matches!I5:I28,Matches!F5:F28,X18,Matches!K5:K28,X19)+SUMIFS(Matches!H5:H28,Matches!K5:K28,X18,Matches!F5:F28,X17)+SUMIFS(Matches!H5:H28,Matches!K5:K28,X18,Matches!F5:F28,X19)</f>
        <v>0</v>
      </c>
      <c r="AQ18" s="22">
        <f t="shared" si="10"/>
        <v>0</v>
      </c>
      <c r="AR18" s="22">
        <f t="shared" si="11"/>
        <v>0</v>
      </c>
      <c r="AS18" s="22">
        <f t="shared" ref="AS18" si="125">IF(X18&lt;&gt;"",SUMPRODUCT((V16:V19=V18)*(AR16:AR19&gt;AR18)*1),0)</f>
        <v>0</v>
      </c>
      <c r="AT18" s="22">
        <f t="shared" ref="AT18" si="126">IF(X18&lt;&gt;"",SUMPRODUCT((AS16:AS19=AS18)*(AQ16:AQ19&gt;AQ18)*1),0)</f>
        <v>0</v>
      </c>
      <c r="AU18" s="22">
        <f t="shared" si="12"/>
        <v>0</v>
      </c>
      <c r="AV18" s="22">
        <f t="shared" ref="AV18" si="127">IF(X18&lt;&gt;"",SUMPRODUCT((AU16:AU19=AU18)*(AS16:AS19=AS18)*(AO16:AO19&gt;AO18)*1),0)</f>
        <v>0</v>
      </c>
      <c r="AW18" s="22">
        <f t="shared" si="13"/>
        <v>1</v>
      </c>
      <c r="AX18" s="22">
        <f>SUMPRODUCT((Matches!F5:F28=Y18)*(Matches!K5:K28=Y19)*(Matches!H5:H28&gt;Matches!I5:I28)*1)+SUMPRODUCT((Matches!K5:K28=Y18)*(Matches!F5:F28=Y19)*(Matches!I5:I28&gt;Matches!H5:H28)*1)</f>
        <v>0</v>
      </c>
      <c r="AY18" s="22">
        <f>SUMPRODUCT((Matches!F5:F28=Y18)*(Matches!K5:K28=Y19)*(Matches!H5:H28=Matches!I5:I28)*1)+SUMPRODUCT((Matches!K5:K28=Y18)*(Matches!F5:F28=Y19)*(Matches!I5:I28=Matches!H5:H28)*1)</f>
        <v>0</v>
      </c>
      <c r="AZ18" s="22">
        <f>SUMPRODUCT((Matches!F5:F28=Y18)*(Matches!K5:K28=Y19)*(Matches!H5:H28&lt;Matches!I5:I28)*1)+SUMPRODUCT((Matches!K5:K28=Y18)*(Matches!F5:F28=Y19)*(Matches!I5:I28&lt;Matches!H5:H28)*1)</f>
        <v>0</v>
      </c>
      <c r="BA18" s="22">
        <f>SUMIFS(Matches!H5:H28,Matches!F5:F28,Y18,Matches!K5:K28,Y19)+SUMIFS(Matches!I5:I28,Matches!K5:K28,Y18,Matches!F5:F28,Y19)</f>
        <v>0</v>
      </c>
      <c r="BB18" s="22">
        <f>SUMIFS(Matches!I5:I28,Matches!F5:F28,Y18,Matches!K5:K28,Y19)+SUMIFS(Matches!H5:H28,Matches!K5:K28,Y18,Matches!F5:F28,Y19)</f>
        <v>0</v>
      </c>
      <c r="BC18" s="22">
        <f t="shared" ref="BC18:BC19" si="128">BA18-BB18</f>
        <v>0</v>
      </c>
      <c r="BD18" s="22">
        <f t="shared" ref="BD18:BD19" si="129">AY18*1+AX18*3</f>
        <v>0</v>
      </c>
      <c r="BE18" s="22">
        <f t="shared" ref="BE18" si="130">IF(Y18&lt;&gt;"",SUMPRODUCT((AH16:AH19=AH18)*(BD16:BD19&gt;BD18)*1),0)</f>
        <v>0</v>
      </c>
      <c r="BF18" s="22">
        <f t="shared" ref="BF18" si="131">IF(Y18&lt;&gt;"",SUMPRODUCT((BE16:BE19=BE18)*(BC16:BC19&gt;BC18)*1),0)</f>
        <v>0</v>
      </c>
      <c r="BG18" s="22">
        <f t="shared" ref="BG18:BG19" si="132">BE18+BF18</f>
        <v>0</v>
      </c>
      <c r="BH18" s="22">
        <f t="shared" ref="BH18" si="133">IF(Y18&lt;&gt;"",SUMPRODUCT((BG16:BG19=BG18)*(BE16:BE19=BE18)*(BA16:BA19&gt;BA18)*1),0)</f>
        <v>0</v>
      </c>
      <c r="BI18" s="22">
        <f t="shared" si="17"/>
        <v>1</v>
      </c>
      <c r="BJ18" s="22">
        <f>SUMPRODUCT((BI16:BI19=BI18)*(A16:A19&gt;A18)*1)</f>
        <v>3</v>
      </c>
      <c r="BK18" s="22">
        <f t="shared" si="14"/>
        <v>4</v>
      </c>
      <c r="BM18" s="192"/>
      <c r="BN18" s="193"/>
      <c r="BO18" s="194" t="str">
        <f>Calculator!C15</f>
        <v>Bolivia</v>
      </c>
      <c r="BP18" s="195" t="s">
        <v>390</v>
      </c>
      <c r="BQ18" s="194"/>
      <c r="BR18" s="189">
        <v>12</v>
      </c>
      <c r="BS18" s="196">
        <v>-6.5</v>
      </c>
      <c r="BT18" s="22"/>
      <c r="BU18" s="10">
        <v>12</v>
      </c>
      <c r="BV18" s="197">
        <f t="shared" si="18"/>
        <v>45469.791666666664</v>
      </c>
      <c r="BW18" s="198">
        <v>45469.791666666664</v>
      </c>
      <c r="BX18" s="199">
        <f t="shared" si="19"/>
        <v>45469.791666666664</v>
      </c>
      <c r="BZ18" s="189" t="str">
        <f>INDEX(Language!$A$1:$K$80,MATCH(Setup!B19,Language!$B$1:$B$80,0),MATCH(Setup!$C$5,Language!$A$1:$J$1,0))</f>
        <v>Bolivia</v>
      </c>
    </row>
    <row r="19" spans="1:78" ht="16.5" x14ac:dyDescent="0.25">
      <c r="A19" s="22">
        <f>INDEX(M4:M35,MATCH(U19,C4:C35,0),0)</f>
        <v>1452</v>
      </c>
      <c r="B19" s="22">
        <f t="shared" si="25"/>
        <v>4</v>
      </c>
      <c r="C19" s="22" t="str">
        <f t="shared" si="1"/>
        <v>Costa Rica</v>
      </c>
      <c r="D19" s="22">
        <f t="shared" si="2"/>
        <v>0</v>
      </c>
      <c r="E19" s="22">
        <f>SUMPRODUCT((Matches!H5:H28&lt;&gt;"")*(Matches!F5:F28=C19)*(Matches!H5:H28&gt;Matches!I5:I28)*1)+SUMPRODUCT((Matches!H5:H28&lt;&gt;"")*(Matches!K5:K28=C19)*(Matches!I5:I28&gt;Matches!H5:H28)*1)</f>
        <v>0</v>
      </c>
      <c r="F19" s="22">
        <f>SUMPRODUCT((Matches!H5:H28&lt;&gt;"")*(Matches!F5:F28=C19)*(Matches!H5:H28=Matches!I5:I28)*1)+SUMPRODUCT((Matches!H5:H28&lt;&gt;"")*(Matches!K5:K28=C19)*(Matches!H5:H28=Matches!I5:I28)*1)</f>
        <v>0</v>
      </c>
      <c r="G19" s="22">
        <f>SUMPRODUCT((Matches!H5:H28&lt;&gt;"")*(Matches!F5:F28=C19)*(Matches!H5:H28&lt;Matches!I5:I28)*1)+SUMPRODUCT((Matches!H5:H28&lt;&gt;"")*(Matches!K5:K28=C19)*(Matches!I5:I28&lt;Matches!H5:H28)*1)</f>
        <v>0</v>
      </c>
      <c r="H19" s="22">
        <f>SUMIF(Matches!F5:F28,C19,Matches!H5:H28)+SUMIF(Matches!K5:K28,C19,Matches!I5:I28)</f>
        <v>0</v>
      </c>
      <c r="I19" s="22">
        <f>SUMIF(Matches!F5:F28,C19,Matches!I5:I28)+SUMIF(Matches!K5:K28,C19,Matches!H5:H28)</f>
        <v>0</v>
      </c>
      <c r="J19" s="22">
        <f t="shared" si="3"/>
        <v>0</v>
      </c>
      <c r="K19" s="22">
        <f t="shared" si="4"/>
        <v>0</v>
      </c>
      <c r="L19" s="22">
        <f>Setup!E23</f>
        <v>1452</v>
      </c>
      <c r="M19" s="22">
        <f>IF(Setup!F23&lt;&gt;"",-Setup!F23,Setup!E23)</f>
        <v>1452</v>
      </c>
      <c r="N19" s="22">
        <f>RANK(K19,K16:K19)</f>
        <v>1</v>
      </c>
      <c r="O19" s="22">
        <f>SUMPRODUCT((N16:N19=N19)*(J16:J19&gt;J19)*1)</f>
        <v>0</v>
      </c>
      <c r="P19" s="22">
        <f t="shared" si="5"/>
        <v>1</v>
      </c>
      <c r="Q19" s="22">
        <f>SUMPRODUCT((N16:N19=N19)*(J16:J19=J19)*(H16:H19&gt;H19)*1)</f>
        <v>0</v>
      </c>
      <c r="R19" s="22">
        <f t="shared" si="6"/>
        <v>1</v>
      </c>
      <c r="S19" s="22">
        <f>RANK(R19,R16:R19,1)+COUNTIF(R16:R19,R19)-1</f>
        <v>4</v>
      </c>
      <c r="T19" s="22">
        <v>4</v>
      </c>
      <c r="U19" s="22" t="str">
        <f t="shared" ref="U19" si="134">INDEX(C16:C19,MATCH(T19,S16:S19,0),0)</f>
        <v>Costa Rica</v>
      </c>
      <c r="V19" s="22">
        <f>INDEX(R16:R19,MATCH(U19,C16:C19,0),0)</f>
        <v>1</v>
      </c>
      <c r="W19" s="22" t="str">
        <f t="shared" si="119"/>
        <v>Costa Rica</v>
      </c>
      <c r="X19" s="22" t="str">
        <f t="shared" ref="X19" si="135">IF(AND(X18&lt;&gt;"",V19=2),U19,"")</f>
        <v/>
      </c>
      <c r="Y19" s="22" t="str">
        <f t="shared" ref="Y19" si="136">IF(AND(Y18&lt;&gt;"",V19=3),U19,"")</f>
        <v/>
      </c>
      <c r="Z19" s="22">
        <f>SUMPRODUCT((Matches!F5:F28=W19)*(Matches!K5:K28=W16)*(Matches!H5:H28&gt;Matches!I5:I28)*1)+SUMPRODUCT((Matches!K5:K28=W19)*(Matches!F5:F28=W16)*(Matches!I5:I28&gt;Matches!H5:H28)*1)+SUMPRODUCT((Matches!F5:F28=W19)*(Matches!K5:K28=W17)*(Matches!H5:H28&gt;Matches!I5:I28)*1)+SUMPRODUCT((Matches!K5:K28=W19)*(Matches!F5:F28=W17)*(Matches!I5:I28&gt;Matches!H5:H28)*1)+SUMPRODUCT((Matches!F5:F28=W19)*(Matches!K5:K28=W18)*(Matches!H5:H28&gt;Matches!I5:I28)*1)+SUMPRODUCT((Matches!K5:K28=W19)*(Matches!F5:F28=W18)*(Matches!I5:I28&gt;Matches!H5:H28)*1)</f>
        <v>0</v>
      </c>
      <c r="AA19" s="22">
        <f>SUMPRODUCT((Matches!F5:F28=W19)*(Matches!K5:K28=W16)*(Matches!H5:H28&gt;=Matches!I5:I28)*1)+SUMPRODUCT((Matches!K5:K28=W19)*(Matches!F5:F28=W16)*(Matches!H5:H28=Matches!I5:I28)*1)+SUMPRODUCT((Matches!F5:F28=W19)*(Matches!K5:K28=W17)*(Matches!H5:H28=Matches!I5:I28)*1)+SUMPRODUCT((Matches!K5:K28=W19)*(Matches!F5:F28=W17)*(Matches!H5:H28=Matches!I5:I28)*1)+SUMPRODUCT((Matches!F5:F28=W19)*(Matches!K5:K28=W18)*(Matches!H5:H28=Matches!I5:I28)*1)+SUMPRODUCT((Matches!K5:K28=W19)*(Matches!F5:F28=W18)*(Matches!H5:H28=Matches!I5:I28)*1)</f>
        <v>3</v>
      </c>
      <c r="AB19" s="22">
        <f>SUMPRODUCT((Matches!F5:F28=W19)*(Matches!K5:K28=W16)*(Matches!H5:H28&lt;Matches!I5:I28)*1)+SUMPRODUCT((Matches!K5:K28=W19)*(Matches!F5:F28=W16)*(Matches!I5:I28&lt;Matches!H5:H28)*1)+SUMPRODUCT((Matches!F5:F28=W19)*(Matches!K5:K28=W17)*(Matches!H5:H28&lt;Matches!I5:I28)*1)+SUMPRODUCT((Matches!K5:K28=W19)*(Matches!F5:F28=W17)*(Matches!I5:I28&lt;Matches!H5:H28)*1)+SUMPRODUCT((Matches!F5:F28=W19)*(Matches!K5:K28=W18)*(Matches!H5:H28&lt;Matches!I5:I28)*1)+SUMPRODUCT((Matches!K5:K28=W19)*(Matches!F5:F28=W18)*(Matches!I5:I28&lt;Matches!H5:H28)*1)</f>
        <v>0</v>
      </c>
      <c r="AC19" s="22">
        <f>SUMIFS(Matches!H5:H28,Matches!F5:F28,W19,Matches!K5:K28,W16)+SUMIFS(Matches!H5:H28,Matches!F5:F28,W19,Matches!K5:K28,W17)+SUMIFS(Matches!H5:H28,Matches!F5:F28,W19,Matches!K5:K28,W18)+SUMIFS(Matches!I5:I28,Matches!K5:K28,W19,Matches!F5:F28,W16)+SUMIFS(Matches!I5:I28,Matches!K5:K28,W19,Matches!F5:F28,W17)+SUMIFS(Matches!I5:I28,Matches!K5:K28,W19,Matches!F5:F28,W18)</f>
        <v>0</v>
      </c>
      <c r="AD19" s="22">
        <f>SUMIFS(Matches!I5:I28,Matches!F5:F28,W19,Matches!K5:K28,W16)+SUMIFS(Matches!I5:I28,Matches!F5:F28,W19,Matches!K5:K28,W17)+SUMIFS(Matches!I5:I28,Matches!F5:F28,W19,Matches!K5:K28,W18)+SUMIFS(Matches!H5:H28,Matches!K5:K28,W19,Matches!F5:F28,W16)+SUMIFS(Matches!H5:H28,Matches!K5:K28,W19,Matches!F5:F28,W17)+SUMIFS(Matches!H5:H28,Matches!K5:K28,W19,Matches!F5:F28,W18)</f>
        <v>0</v>
      </c>
      <c r="AE19" s="22">
        <f t="shared" si="7"/>
        <v>0</v>
      </c>
      <c r="AF19" s="22">
        <f t="shared" si="8"/>
        <v>3</v>
      </c>
      <c r="AG19" s="22">
        <f t="shared" ref="AG19" si="137">IF(W19&lt;&gt;"",SUMPRODUCT((V16:V19=V19)*(AF16:AF19&gt;AF19)*1),0)</f>
        <v>0</v>
      </c>
      <c r="AH19" s="22">
        <f t="shared" ref="AH19" si="138">IF(W19&lt;&gt;"",SUMPRODUCT((AG16:AG19=AG19)*(AE16:AE19&gt;AE19)*1),0)</f>
        <v>0</v>
      </c>
      <c r="AI19" s="22">
        <f t="shared" si="0"/>
        <v>0</v>
      </c>
      <c r="AJ19" s="22">
        <f t="shared" ref="AJ19" si="139">IF(W19&lt;&gt;"",SUMPRODUCT((AI16:AI19=AI19)*(AG16:AG19=AG19)*(AC16:AC19&gt;AC19)*1),0)</f>
        <v>0</v>
      </c>
      <c r="AK19" s="22">
        <f t="shared" si="9"/>
        <v>1</v>
      </c>
      <c r="AL19" s="22">
        <f>SUMPRODUCT((Matches!F5:F28=X19)*(Matches!K5:K28=X17)*(Matches!H5:H28&gt;Matches!I5:I28)*1)+SUMPRODUCT((Matches!K5:K28=X19)*(Matches!F5:F28=X17)*(Matches!I5:I28&gt;Matches!H5:H28)*1)+SUMPRODUCT((Matches!F5:F28=X19)*(Matches!K5:K28=X18)*(Matches!H5:H28&gt;Matches!I5:I28)*1)+SUMPRODUCT((Matches!K5:K28=X19)*(Matches!F5:F28=X18)*(Matches!I5:I28&gt;Matches!H5:H28)*1)</f>
        <v>0</v>
      </c>
      <c r="AM19" s="22">
        <f>SUMPRODUCT((Matches!F5:F28=X19)*(Matches!K5:K28=X17)*(Matches!H5:H28=Matches!I5:I28)*1)+SUMPRODUCT((Matches!K5:K28=X19)*(Matches!F5:F28=X17)*(Matches!H5:H28=Matches!I5:I28)*1)+SUMPRODUCT((Matches!F5:F28=X19)*(Matches!K5:K28=X18)*(Matches!H5:H28=Matches!I5:I28)*1)+SUMPRODUCT((Matches!K5:K28=X19)*(Matches!F5:F28=X18)*(Matches!H5:H28=Matches!I5:I28)*1)</f>
        <v>0</v>
      </c>
      <c r="AN19" s="22">
        <f>SUMPRODUCT((Matches!F5:F28=X19)*(Matches!K5:K28=X17)*(Matches!H5:H28&lt;Matches!I5:I28)*1)+SUMPRODUCT((Matches!K5:K28=X19)*(Matches!F5:F28=X17)*(Matches!I5:I28&lt;Matches!H5:H28)*1)+SUMPRODUCT((Matches!F5:F28=X19)*(Matches!K5:K28=X18)*(Matches!H5:H28&lt;Matches!I5:I28)*1)+SUMPRODUCT((Matches!K5:K28=X19)*(Matches!F5:F28=X18)*(Matches!I5:I28&lt;Matches!H5:H28)*1)</f>
        <v>0</v>
      </c>
      <c r="AO19" s="22">
        <f>SUMIFS(Matches!H5:H28,Matches!F5:F28,X19,Matches!K5:K28,X17)+SUMIFS(Matches!H5:H28,Matches!F5:F28,X19,Matches!K5:K28,X18)+SUMIFS(Matches!I5:I28,Matches!K5:K28,X19,Matches!F5:F28,X17)+SUMIFS(Matches!I5:I28,Matches!K5:K28,X19,Matches!F5:F28,X18)</f>
        <v>0</v>
      </c>
      <c r="AP19" s="22">
        <f>SUMIFS(Matches!H5:H28,Matches!F5:F28,X19,Matches!K5:K28,X17)+SUMIFS(Matches!H5:H28,Matches!F5:F28,X19,Matches!K5:K28,X18)+SUMIFS(Matches!I5:I28,Matches!K5:K28,X19,Matches!F5:F28,X17)+SUMIFS(Matches!I5:I28,Matches!K5:K28,X19,Matches!F5:F28,X18)</f>
        <v>0</v>
      </c>
      <c r="AQ19" s="22">
        <f t="shared" si="10"/>
        <v>0</v>
      </c>
      <c r="AR19" s="22">
        <f t="shared" si="11"/>
        <v>0</v>
      </c>
      <c r="AS19" s="22">
        <f t="shared" ref="AS19" si="140">IF(X19&lt;&gt;"",SUMPRODUCT((V16:V19=V19)*(AR16:AR19&gt;AR19)*1),0)</f>
        <v>0</v>
      </c>
      <c r="AT19" s="22">
        <f t="shared" ref="AT19" si="141">IF(X19&lt;&gt;"",SUMPRODUCT((AS16:AS19=AS19)*(AQ16:AQ19&gt;AQ19)*1),0)</f>
        <v>0</v>
      </c>
      <c r="AU19" s="22">
        <f t="shared" si="12"/>
        <v>0</v>
      </c>
      <c r="AV19" s="22">
        <f t="shared" ref="AV19" si="142">IF(X19&lt;&gt;"",SUMPRODUCT((AU16:AU19=AU19)*(AS16:AS19=AS19)*(AO16:AO19&gt;AO19)*1),0)</f>
        <v>0</v>
      </c>
      <c r="AW19" s="22">
        <f t="shared" si="13"/>
        <v>1</v>
      </c>
      <c r="AX19" s="22">
        <f>SUMPRODUCT((Matches!F5:F28=Y19)*(Matches!K5:K28=Y18)*(Matches!H5:H28&gt;Matches!I5:I28)*1)+SUMPRODUCT((Matches!K5:K28=Y19)*(Matches!F5:F28=Y18)*(Matches!I5:I28&gt;Matches!H5:H28)*1)</f>
        <v>0</v>
      </c>
      <c r="AY19" s="22">
        <f>SUMPRODUCT((Matches!F5:F28=Y19)*(Matches!K5:K28=Y18)*(Matches!H5:H28=Matches!I5:I28)*1)+SUMPRODUCT((Matches!K5:K28=Y19)*(Matches!F5:F28=Y18)*(Matches!I5:I28=Matches!H5:H28)*1)</f>
        <v>0</v>
      </c>
      <c r="AZ19" s="22">
        <f>SUMPRODUCT((Matches!F5:F28=Y19)*(Matches!K5:K28=Y18)*(Matches!H5:H28&lt;Matches!I5:I28)*1)+SUMPRODUCT((Matches!K5:K28=Y19)*(Matches!F5:F28=Y18)*(Matches!I5:I28&lt;Matches!H5:H28)*1)</f>
        <v>0</v>
      </c>
      <c r="BA19" s="22">
        <f>SUMIFS(Matches!H5:H28,Matches!F5:F28,Y19,Matches!K5:K28,Y18)+SUMIFS(Matches!I5:I28,Matches!K5:K28,Y19,Matches!F5:F28,Y18)</f>
        <v>0</v>
      </c>
      <c r="BB19" s="22">
        <f>SUMIFS(Matches!H5:H28,Matches!F5:F28,Y19,Matches!K5:K28,Y18)+SUMIFS(Matches!I5:I28,Matches!K5:K28,Y19,Matches!F5:F28,Y18)</f>
        <v>0</v>
      </c>
      <c r="BC19" s="22">
        <f t="shared" si="128"/>
        <v>0</v>
      </c>
      <c r="BD19" s="22">
        <f t="shared" si="129"/>
        <v>0</v>
      </c>
      <c r="BE19" s="22">
        <f t="shared" ref="BE19" si="143">IF(Y19&lt;&gt;"",SUMPRODUCT((AH16:AH19=AH19)*(BD16:BD19&gt;BD19)*1),0)</f>
        <v>0</v>
      </c>
      <c r="BF19" s="22">
        <f t="shared" ref="BF19" si="144">IF(Y19&lt;&gt;"",SUMPRODUCT((BE16:BE19=BE19)*(BC16:BC19&gt;BC19)*1),0)</f>
        <v>0</v>
      </c>
      <c r="BG19" s="22">
        <f t="shared" si="132"/>
        <v>0</v>
      </c>
      <c r="BH19" s="22">
        <f t="shared" ref="BH19" si="145">IF(Y19&lt;&gt;"",SUMPRODUCT((BG16:BG19=BG19)*(BE16:BE19=BE19)*(BA16:BA19&gt;BA19)*1),0)</f>
        <v>0</v>
      </c>
      <c r="BI19" s="22">
        <f t="shared" si="17"/>
        <v>1</v>
      </c>
      <c r="BJ19" s="22">
        <f>SUMPRODUCT((BI16:BI19=BI19)*(A16:A19&gt;A19)*1)</f>
        <v>2</v>
      </c>
      <c r="BK19" s="22">
        <f t="shared" si="14"/>
        <v>3</v>
      </c>
      <c r="BM19" s="192" t="s">
        <v>56</v>
      </c>
      <c r="BN19" s="193"/>
      <c r="BO19" s="194" t="str">
        <f>Calculator!C16</f>
        <v>Brazil</v>
      </c>
      <c r="BP19" s="195" t="s">
        <v>391</v>
      </c>
      <c r="BQ19" s="194"/>
      <c r="BR19" s="189">
        <v>13</v>
      </c>
      <c r="BS19" s="196">
        <v>-6</v>
      </c>
      <c r="BT19" s="22"/>
      <c r="BU19" s="10">
        <v>13</v>
      </c>
      <c r="BV19" s="197">
        <f t="shared" si="18"/>
        <v>45470.75</v>
      </c>
      <c r="BW19" s="198">
        <v>45470.75</v>
      </c>
      <c r="BX19" s="199">
        <f t="shared" si="19"/>
        <v>45470.75</v>
      </c>
      <c r="BY19" s="189">
        <f>SUM(Matches!R17:R20)</f>
        <v>0</v>
      </c>
      <c r="BZ19" s="189" t="str">
        <f>INDEX(Language!$A$1:$K$80,MATCH(Setup!B20,Language!$B$1:$B$80,0),MATCH(Setup!$C$5,Language!$A$1:$J$1,0))</f>
        <v>Brazil</v>
      </c>
    </row>
    <row r="20" spans="1:78" x14ac:dyDescent="0.25">
      <c r="BM20" s="192"/>
      <c r="BN20" s="193"/>
      <c r="BO20" s="194" t="str">
        <f>Calculator!C17</f>
        <v>Colombia</v>
      </c>
      <c r="BP20" s="195" t="s">
        <v>392</v>
      </c>
      <c r="BQ20" s="194"/>
      <c r="BR20" s="189">
        <v>14</v>
      </c>
      <c r="BS20" s="196">
        <v>-5.5</v>
      </c>
      <c r="BT20" s="22"/>
      <c r="BU20" s="10">
        <v>14</v>
      </c>
      <c r="BV20" s="197">
        <f t="shared" si="18"/>
        <v>45470.791666666664</v>
      </c>
      <c r="BW20" s="198">
        <v>45470.791666666664</v>
      </c>
      <c r="BX20" s="199">
        <f t="shared" si="19"/>
        <v>45470.791666666664</v>
      </c>
      <c r="BZ20" s="189" t="str">
        <f>INDEX(Language!$A$1:$K$80,MATCH(Setup!B21,Language!$B$1:$B$80,0),MATCH(Setup!$C$5,Language!$A$1:$J$1,0))</f>
        <v>Colombia</v>
      </c>
    </row>
    <row r="21" spans="1:78" x14ac:dyDescent="0.25">
      <c r="BM21" s="192"/>
      <c r="BN21" s="193"/>
      <c r="BO21" s="194" t="str">
        <f>Calculator!C18</f>
        <v>Paraguay</v>
      </c>
      <c r="BP21" s="195" t="s">
        <v>393</v>
      </c>
      <c r="BQ21" s="194"/>
      <c r="BR21" s="189">
        <v>15</v>
      </c>
      <c r="BS21" s="196">
        <v>-5</v>
      </c>
      <c r="BT21" s="22"/>
      <c r="BU21" s="10">
        <v>15</v>
      </c>
      <c r="BV21" s="197">
        <f t="shared" si="18"/>
        <v>45471.75</v>
      </c>
      <c r="BW21" s="198">
        <v>45471.75</v>
      </c>
      <c r="BX21" s="199">
        <f t="shared" si="19"/>
        <v>45471.75</v>
      </c>
      <c r="BZ21" s="189" t="str">
        <f>INDEX(Language!$A$1:$K$80,MATCH(Setup!B22,Language!$B$1:$B$80,0),MATCH(Setup!$C$5,Language!$A$1:$J$1,0))</f>
        <v>Paraguay</v>
      </c>
    </row>
    <row r="22" spans="1:78" x14ac:dyDescent="0.25">
      <c r="BM22" s="192"/>
      <c r="BN22" s="193"/>
      <c r="BO22" s="194" t="str">
        <f>Calculator!C19</f>
        <v>Costa Rica</v>
      </c>
      <c r="BP22" s="195" t="s">
        <v>394</v>
      </c>
      <c r="BQ22" s="194"/>
      <c r="BR22" s="189">
        <v>16</v>
      </c>
      <c r="BS22" s="196">
        <v>-4.5</v>
      </c>
      <c r="BT22" s="22"/>
      <c r="BU22" s="10">
        <v>16</v>
      </c>
      <c r="BV22" s="197">
        <f t="shared" si="18"/>
        <v>45471.791666666664</v>
      </c>
      <c r="BW22" s="198">
        <v>45471.791666666664</v>
      </c>
      <c r="BX22" s="199">
        <f t="shared" si="19"/>
        <v>45471.791666666664</v>
      </c>
      <c r="BZ22" s="189" t="str">
        <f>INDEX(Language!$A$1:$K$80,MATCH(Setup!B23,Language!$B$1:$B$80,0),MATCH(Setup!$C$5,Language!$A$1:$J$1,0))</f>
        <v>Costa Rica</v>
      </c>
    </row>
    <row r="23" spans="1:78" ht="16.5" x14ac:dyDescent="0.25">
      <c r="BM23" s="192" t="s">
        <v>64</v>
      </c>
      <c r="BN23" s="193"/>
      <c r="BO23" s="194">
        <f>Calculator!C20</f>
        <v>0</v>
      </c>
      <c r="BP23" s="195" t="s">
        <v>395</v>
      </c>
      <c r="BQ23" s="194"/>
      <c r="BR23" s="189">
        <v>17</v>
      </c>
      <c r="BS23" s="196">
        <v>-4</v>
      </c>
      <c r="BT23" s="22"/>
      <c r="BU23" s="10">
        <v>17</v>
      </c>
      <c r="BV23" s="197">
        <f t="shared" si="18"/>
        <v>45472.833333333336</v>
      </c>
      <c r="BW23" s="198">
        <v>45472.833333333336</v>
      </c>
      <c r="BX23" s="199">
        <f t="shared" si="19"/>
        <v>45472.833333333336</v>
      </c>
    </row>
    <row r="24" spans="1:78" x14ac:dyDescent="0.25">
      <c r="BM24" s="192"/>
      <c r="BN24" s="193"/>
      <c r="BO24" s="194">
        <f>Calculator!C21</f>
        <v>0</v>
      </c>
      <c r="BP24" s="195" t="s">
        <v>396</v>
      </c>
      <c r="BQ24" s="194"/>
      <c r="BR24" s="189">
        <v>18</v>
      </c>
      <c r="BS24" s="196">
        <v>-3.5</v>
      </c>
      <c r="BT24" s="22"/>
      <c r="BU24" s="10">
        <v>18</v>
      </c>
      <c r="BV24" s="197">
        <f t="shared" si="18"/>
        <v>45472.833333333336</v>
      </c>
      <c r="BW24" s="198">
        <v>45472.833333333336</v>
      </c>
      <c r="BX24" s="199">
        <f t="shared" si="19"/>
        <v>45472.833333333336</v>
      </c>
    </row>
    <row r="25" spans="1:78" x14ac:dyDescent="0.25">
      <c r="BM25" s="192"/>
      <c r="BN25" s="193"/>
      <c r="BO25" s="194">
        <f>Calculator!C22</f>
        <v>0</v>
      </c>
      <c r="BP25" s="195" t="s">
        <v>397</v>
      </c>
      <c r="BQ25" s="194"/>
      <c r="BR25" s="189">
        <v>19</v>
      </c>
      <c r="BS25" s="196">
        <v>-3</v>
      </c>
      <c r="BT25" s="22"/>
      <c r="BU25" s="10">
        <v>19</v>
      </c>
      <c r="BV25" s="197">
        <f t="shared" si="18"/>
        <v>45473.833333333336</v>
      </c>
      <c r="BW25" s="198">
        <v>45473.833333333336</v>
      </c>
      <c r="BX25" s="199">
        <f t="shared" si="19"/>
        <v>45473.833333333336</v>
      </c>
      <c r="BY25" s="189">
        <f>SUM(Matches!R23:R26)</f>
        <v>0</v>
      </c>
    </row>
    <row r="26" spans="1:78" x14ac:dyDescent="0.25">
      <c r="BM26" s="192"/>
      <c r="BN26" s="193"/>
      <c r="BO26" s="194">
        <f>Calculator!C23</f>
        <v>0</v>
      </c>
      <c r="BP26" s="195" t="s">
        <v>398</v>
      </c>
      <c r="BQ26" s="194"/>
      <c r="BR26" s="189">
        <v>20</v>
      </c>
      <c r="BS26" s="196">
        <v>-2.5</v>
      </c>
      <c r="BT26" s="22"/>
      <c r="BU26" s="10">
        <v>20</v>
      </c>
      <c r="BV26" s="197">
        <f t="shared" si="18"/>
        <v>45473.833333333336</v>
      </c>
      <c r="BW26" s="198">
        <v>45473.833333333336</v>
      </c>
      <c r="BX26" s="199">
        <f t="shared" si="19"/>
        <v>45473.833333333336</v>
      </c>
    </row>
    <row r="27" spans="1:78" ht="16.5" x14ac:dyDescent="0.25">
      <c r="BM27" s="192" t="s">
        <v>63</v>
      </c>
      <c r="BN27" s="193"/>
      <c r="BO27" s="194">
        <f>Calculator!C24</f>
        <v>0</v>
      </c>
      <c r="BP27" s="195" t="s">
        <v>399</v>
      </c>
      <c r="BQ27" s="194"/>
      <c r="BR27" s="189">
        <v>21</v>
      </c>
      <c r="BS27" s="196">
        <v>-2</v>
      </c>
      <c r="BT27" s="22"/>
      <c r="BU27" s="10">
        <v>21</v>
      </c>
      <c r="BV27" s="197">
        <f t="shared" si="18"/>
        <v>45474.875</v>
      </c>
      <c r="BW27" s="198">
        <v>45474.875</v>
      </c>
      <c r="BX27" s="199">
        <f t="shared" si="19"/>
        <v>45474.875</v>
      </c>
    </row>
    <row r="28" spans="1:78" x14ac:dyDescent="0.25">
      <c r="BM28" s="192"/>
      <c r="BN28" s="193"/>
      <c r="BO28" s="194">
        <f>Calculator!C25</f>
        <v>0</v>
      </c>
      <c r="BP28" s="195" t="s">
        <v>400</v>
      </c>
      <c r="BQ28" s="194"/>
      <c r="BR28" s="189">
        <v>22</v>
      </c>
      <c r="BS28" s="196">
        <v>-1.5</v>
      </c>
      <c r="BT28" s="22"/>
      <c r="BU28" s="10">
        <v>22</v>
      </c>
      <c r="BV28" s="197">
        <f t="shared" si="18"/>
        <v>45474.875</v>
      </c>
      <c r="BW28" s="198">
        <v>45474.875</v>
      </c>
      <c r="BX28" s="199">
        <f t="shared" si="19"/>
        <v>45474.875</v>
      </c>
    </row>
    <row r="29" spans="1:78" x14ac:dyDescent="0.25">
      <c r="BM29" s="192"/>
      <c r="BN29" s="193"/>
      <c r="BO29" s="194">
        <f>Calculator!C26</f>
        <v>0</v>
      </c>
      <c r="BP29" s="195" t="s">
        <v>401</v>
      </c>
      <c r="BQ29" s="194"/>
      <c r="BR29" s="189">
        <v>23</v>
      </c>
      <c r="BS29" s="196">
        <v>-1</v>
      </c>
      <c r="BT29" s="22"/>
      <c r="BU29" s="10">
        <v>23</v>
      </c>
      <c r="BV29" s="197">
        <f t="shared" si="18"/>
        <v>45475.875</v>
      </c>
      <c r="BW29" s="198">
        <v>45475.875</v>
      </c>
      <c r="BX29" s="199">
        <f t="shared" si="19"/>
        <v>45475.875</v>
      </c>
    </row>
    <row r="30" spans="1:78" x14ac:dyDescent="0.25">
      <c r="BM30" s="192"/>
      <c r="BN30" s="193"/>
      <c r="BO30" s="194">
        <f>Calculator!C27</f>
        <v>0</v>
      </c>
      <c r="BP30" s="195" t="s">
        <v>402</v>
      </c>
      <c r="BQ30" s="194"/>
      <c r="BR30" s="189">
        <v>24</v>
      </c>
      <c r="BS30" s="196">
        <v>-0.5</v>
      </c>
      <c r="BT30" s="22"/>
      <c r="BU30" s="10">
        <v>24</v>
      </c>
      <c r="BV30" s="197">
        <f t="shared" si="18"/>
        <v>45475.875</v>
      </c>
      <c r="BW30" s="198">
        <v>45475.875</v>
      </c>
      <c r="BX30" s="199">
        <f t="shared" si="19"/>
        <v>45475.875</v>
      </c>
    </row>
    <row r="31" spans="1:78" ht="16.5" x14ac:dyDescent="0.25">
      <c r="BM31" s="192" t="s">
        <v>65</v>
      </c>
      <c r="BN31" s="193"/>
      <c r="BO31" s="194">
        <f>Calculator!C30</f>
        <v>0</v>
      </c>
      <c r="BP31" s="195" t="s">
        <v>403</v>
      </c>
      <c r="BQ31" s="194"/>
      <c r="BR31" s="189">
        <v>25</v>
      </c>
      <c r="BS31" s="196">
        <v>0</v>
      </c>
      <c r="BT31" s="22"/>
      <c r="BU31" s="10">
        <v>25</v>
      </c>
      <c r="BV31" s="197">
        <f t="shared" si="18"/>
        <v>45477.833333333336</v>
      </c>
      <c r="BW31" s="198">
        <v>45477.833333333336</v>
      </c>
      <c r="BX31" s="199">
        <f t="shared" si="19"/>
        <v>45477.833333333336</v>
      </c>
      <c r="BY31" s="189" t="e">
        <f>SUM(Matches!#REF!)</f>
        <v>#REF!</v>
      </c>
    </row>
    <row r="32" spans="1:78" x14ac:dyDescent="0.25">
      <c r="BM32" s="192"/>
      <c r="BN32" s="193"/>
      <c r="BO32" s="194">
        <f>Calculator!C31</f>
        <v>0</v>
      </c>
      <c r="BP32" s="195" t="s">
        <v>404</v>
      </c>
      <c r="BQ32" s="194"/>
      <c r="BR32" s="189">
        <v>26</v>
      </c>
      <c r="BS32" s="196" t="s">
        <v>84</v>
      </c>
      <c r="BT32" s="22"/>
      <c r="BU32" s="10">
        <v>26</v>
      </c>
      <c r="BV32" s="197">
        <f t="shared" si="18"/>
        <v>45478.833333333336</v>
      </c>
      <c r="BW32" s="198">
        <v>45478.833333333336</v>
      </c>
      <c r="BX32" s="199">
        <f t="shared" si="19"/>
        <v>45478.833333333336</v>
      </c>
    </row>
    <row r="33" spans="65:77" x14ac:dyDescent="0.25">
      <c r="BM33" s="192"/>
      <c r="BN33" s="193"/>
      <c r="BO33" s="194">
        <f>Calculator!C28</f>
        <v>0</v>
      </c>
      <c r="BP33" s="195" t="s">
        <v>405</v>
      </c>
      <c r="BQ33" s="194"/>
      <c r="BR33" s="189">
        <v>27</v>
      </c>
      <c r="BS33" s="196" t="s">
        <v>85</v>
      </c>
      <c r="BT33" s="22"/>
      <c r="BU33" s="10">
        <v>27</v>
      </c>
      <c r="BV33" s="197">
        <f t="shared" si="18"/>
        <v>45479.75</v>
      </c>
      <c r="BW33" s="198">
        <v>45479.75</v>
      </c>
      <c r="BX33" s="199">
        <f t="shared" si="19"/>
        <v>45479.75</v>
      </c>
    </row>
    <row r="34" spans="65:77" x14ac:dyDescent="0.25">
      <c r="BM34" s="192"/>
      <c r="BN34" s="193"/>
      <c r="BO34" s="194">
        <f>Calculator!C29</f>
        <v>0</v>
      </c>
      <c r="BP34" s="195" t="s">
        <v>406</v>
      </c>
      <c r="BQ34" s="194"/>
      <c r="BR34" s="189">
        <v>28</v>
      </c>
      <c r="BS34" s="196" t="s">
        <v>86</v>
      </c>
      <c r="BT34" s="22"/>
      <c r="BU34" s="10">
        <v>28</v>
      </c>
      <c r="BV34" s="197">
        <f t="shared" si="18"/>
        <v>45479.625</v>
      </c>
      <c r="BW34" s="198">
        <v>45479.625</v>
      </c>
      <c r="BX34" s="199">
        <f t="shared" si="19"/>
        <v>45479.625</v>
      </c>
    </row>
    <row r="35" spans="65:77" ht="16.5" x14ac:dyDescent="0.25">
      <c r="BM35" s="192" t="s">
        <v>66</v>
      </c>
      <c r="BN35" s="193"/>
      <c r="BO35" s="194">
        <f>Calculator!C34</f>
        <v>0</v>
      </c>
      <c r="BP35" s="195" t="s">
        <v>407</v>
      </c>
      <c r="BQ35" s="194"/>
      <c r="BR35" s="189">
        <v>29</v>
      </c>
      <c r="BS35" s="196" t="s">
        <v>87</v>
      </c>
      <c r="BT35" s="22"/>
      <c r="BU35" s="10">
        <v>29</v>
      </c>
      <c r="BV35" s="197">
        <f t="shared" si="18"/>
        <v>45482.833333333336</v>
      </c>
      <c r="BW35" s="198">
        <v>45482.833333333336</v>
      </c>
      <c r="BX35" s="199">
        <f t="shared" si="19"/>
        <v>45482.833333333336</v>
      </c>
    </row>
    <row r="36" spans="65:77" x14ac:dyDescent="0.25">
      <c r="BM36" s="192"/>
      <c r="BN36" s="193"/>
      <c r="BO36" s="194">
        <f>Calculator!C35</f>
        <v>0</v>
      </c>
      <c r="BP36" s="195" t="s">
        <v>408</v>
      </c>
      <c r="BQ36" s="194"/>
      <c r="BR36" s="189">
        <v>30</v>
      </c>
      <c r="BS36" s="196" t="s">
        <v>88</v>
      </c>
      <c r="BT36" s="22"/>
      <c r="BU36" s="10">
        <v>30</v>
      </c>
      <c r="BV36" s="197">
        <f t="shared" si="18"/>
        <v>45483.833333333336</v>
      </c>
      <c r="BW36" s="198">
        <v>45483.833333333336</v>
      </c>
      <c r="BX36" s="199">
        <f t="shared" si="19"/>
        <v>45483.833333333336</v>
      </c>
    </row>
    <row r="37" spans="65:77" x14ac:dyDescent="0.25">
      <c r="BM37" s="192"/>
      <c r="BN37" s="193"/>
      <c r="BO37" s="194">
        <f>Calculator!C32</f>
        <v>0</v>
      </c>
      <c r="BP37" s="195" t="s">
        <v>409</v>
      </c>
      <c r="BQ37" s="194"/>
      <c r="BR37" s="189">
        <v>31</v>
      </c>
      <c r="BS37" s="196" t="s">
        <v>89</v>
      </c>
      <c r="BT37" s="22"/>
      <c r="BU37" s="10">
        <v>31</v>
      </c>
      <c r="BV37" s="197">
        <f t="shared" si="18"/>
        <v>45486.833333333336</v>
      </c>
      <c r="BW37" s="198">
        <v>45486.833333333336</v>
      </c>
      <c r="BX37" s="199">
        <f t="shared" si="19"/>
        <v>45486.833333333336</v>
      </c>
      <c r="BY37" s="189" t="e">
        <f>SUM(Matches!#REF!)</f>
        <v>#REF!</v>
      </c>
    </row>
    <row r="38" spans="65:77" x14ac:dyDescent="0.25">
      <c r="BM38" s="192"/>
      <c r="BN38" s="193"/>
      <c r="BO38" s="194">
        <f>Calculator!C33</f>
        <v>0</v>
      </c>
      <c r="BP38" s="195" t="s">
        <v>410</v>
      </c>
      <c r="BQ38" s="194"/>
      <c r="BR38" s="189">
        <v>32</v>
      </c>
      <c r="BS38" s="196" t="s">
        <v>90</v>
      </c>
      <c r="BT38" s="22"/>
      <c r="BU38" s="10">
        <v>32</v>
      </c>
      <c r="BV38" s="197">
        <f t="shared" si="18"/>
        <v>45487.833333333336</v>
      </c>
      <c r="BW38" s="198">
        <v>45487.833333333336</v>
      </c>
      <c r="BX38" s="199">
        <f t="shared" si="19"/>
        <v>45487.833333333336</v>
      </c>
    </row>
    <row r="39" spans="65:77" x14ac:dyDescent="0.25">
      <c r="BS39" s="196" t="s">
        <v>91</v>
      </c>
      <c r="BT39" s="22"/>
      <c r="BU39" s="10">
        <v>33</v>
      </c>
      <c r="BV39" s="197"/>
      <c r="BW39" s="200"/>
      <c r="BX39" s="199"/>
    </row>
    <row r="40" spans="65:77" x14ac:dyDescent="0.25">
      <c r="BO40" s="189" t="e">
        <f>Matches!#REF!</f>
        <v>#REF!</v>
      </c>
      <c r="BQ40" s="189" t="str">
        <f>IF(ISERROR("Calculator!"&amp;VLOOKUP(BO40,Calculator!$BO$7:$BP$38,2,FALSE)),"Calculator!b39","Calculator!"&amp;VLOOKUP(BO40,Calculator!$BO$7:$BP$38,2,FALSE))</f>
        <v>Calculator!b39</v>
      </c>
      <c r="BS40" s="196" t="s">
        <v>92</v>
      </c>
      <c r="BT40" s="22"/>
      <c r="BU40" s="10">
        <v>34</v>
      </c>
      <c r="BV40" s="197"/>
      <c r="BW40" s="200"/>
      <c r="BX40" s="199"/>
    </row>
    <row r="41" spans="65:77" x14ac:dyDescent="0.25">
      <c r="BO41" s="189" t="e">
        <f>Matches!#REF!</f>
        <v>#REF!</v>
      </c>
      <c r="BQ41" s="189" t="str">
        <f>IF(ISERROR("Calculator!"&amp;VLOOKUP(BO41,Calculator!$BO$7:$BP$38,2,FALSE)),"Calculator!b39","Calculator!"&amp;VLOOKUP(BO41,Calculator!$BO$7:$BP$38,2,FALSE))</f>
        <v>Calculator!b39</v>
      </c>
      <c r="BS41" s="196" t="s">
        <v>93</v>
      </c>
      <c r="BT41" s="22"/>
      <c r="BU41" s="10">
        <v>35</v>
      </c>
      <c r="BV41" s="197"/>
      <c r="BW41" s="200"/>
      <c r="BX41" s="199"/>
    </row>
    <row r="42" spans="65:77" x14ac:dyDescent="0.25">
      <c r="BO42" s="189" t="e">
        <f>Matches!#REF!</f>
        <v>#REF!</v>
      </c>
      <c r="BQ42" s="189" t="str">
        <f>IF(ISERROR("Calculator!"&amp;VLOOKUP(BO42,Calculator!$BO$7:$BP$38,2,FALSE)),"Calculator!b39","Calculator!"&amp;VLOOKUP(BO42,Calculator!$BO$7:$BP$38,2,FALSE))</f>
        <v>Calculator!b39</v>
      </c>
      <c r="BS42" s="196" t="s">
        <v>94</v>
      </c>
      <c r="BT42" s="22"/>
      <c r="BU42" s="10">
        <v>36</v>
      </c>
      <c r="BV42" s="197"/>
      <c r="BW42" s="200"/>
      <c r="BX42" s="199"/>
    </row>
    <row r="43" spans="65:77" x14ac:dyDescent="0.25">
      <c r="BO43" s="189" t="e">
        <f>Matches!#REF!</f>
        <v>#REF!</v>
      </c>
      <c r="BQ43" s="189" t="str">
        <f>IF(ISERROR("Calculator!"&amp;VLOOKUP(BO43,Calculator!$BO$7:$BP$38,2,FALSE)),"Calculator!b39","Calculator!"&amp;VLOOKUP(BO43,Calculator!$BO$7:$BP$38,2,FALSE))</f>
        <v>Calculator!b39</v>
      </c>
      <c r="BS43" s="196" t="s">
        <v>95</v>
      </c>
      <c r="BT43" s="22"/>
      <c r="BU43" s="10">
        <v>37</v>
      </c>
      <c r="BV43" s="197"/>
      <c r="BW43" s="200"/>
      <c r="BX43" s="199"/>
      <c r="BY43" s="189" t="e">
        <f>SUM(Matches!#REF!)</f>
        <v>#REF!</v>
      </c>
    </row>
    <row r="44" spans="65:77" x14ac:dyDescent="0.25">
      <c r="BO44" s="189" t="e">
        <f>Matches!#REF!</f>
        <v>#REF!</v>
      </c>
      <c r="BQ44" s="189" t="str">
        <f>IF(ISERROR("Calculator!"&amp;VLOOKUP(BO44,Calculator!$BO$7:$BP$38,2,FALSE)),"Calculator!b39","Calculator!"&amp;VLOOKUP(BO44,Calculator!$BO$7:$BP$38,2,FALSE))</f>
        <v>Calculator!b39</v>
      </c>
      <c r="BS44" s="196" t="s">
        <v>96</v>
      </c>
      <c r="BT44" s="22"/>
      <c r="BU44" s="10">
        <v>38</v>
      </c>
      <c r="BV44" s="197"/>
      <c r="BW44" s="200"/>
      <c r="BX44" s="199"/>
    </row>
    <row r="45" spans="65:77" x14ac:dyDescent="0.25">
      <c r="BO45" s="189" t="e">
        <f>Matches!#REF!</f>
        <v>#REF!</v>
      </c>
      <c r="BQ45" s="189" t="str">
        <f>IF(ISERROR("Calculator!"&amp;VLOOKUP(BO45,Calculator!$BO$7:$BP$38,2,FALSE)),"Calculator!b39","Calculator!"&amp;VLOOKUP(BO45,Calculator!$BO$7:$BP$38,2,FALSE))</f>
        <v>Calculator!b39</v>
      </c>
      <c r="BS45" s="196" t="s">
        <v>97</v>
      </c>
      <c r="BT45" s="22"/>
      <c r="BU45" s="10">
        <v>39</v>
      </c>
      <c r="BV45" s="197"/>
      <c r="BW45" s="200"/>
      <c r="BX45" s="199"/>
    </row>
    <row r="46" spans="65:77" x14ac:dyDescent="0.25">
      <c r="BO46" s="189" t="e">
        <f>Matches!#REF!</f>
        <v>#REF!</v>
      </c>
      <c r="BQ46" s="189" t="str">
        <f>IF(ISERROR("Calculator!"&amp;VLOOKUP(BO46,Calculator!$BO$7:$BP$38,2,FALSE)),"Calculator!b39","Calculator!"&amp;VLOOKUP(BO46,Calculator!$BO$7:$BP$38,2,FALSE))</f>
        <v>Calculator!b39</v>
      </c>
      <c r="BS46" s="196" t="s">
        <v>98</v>
      </c>
      <c r="BT46" s="22"/>
      <c r="BU46" s="10">
        <v>40</v>
      </c>
      <c r="BV46" s="197"/>
      <c r="BW46" s="200"/>
      <c r="BX46" s="199"/>
    </row>
    <row r="47" spans="65:77" x14ac:dyDescent="0.25">
      <c r="BO47" s="189" t="e">
        <f>Matches!#REF!</f>
        <v>#REF!</v>
      </c>
      <c r="BQ47" s="189" t="str">
        <f>IF(ISERROR("Calculator!"&amp;VLOOKUP(BO47,Calculator!$BO$7:$BP$38,2,FALSE)),"Calculator!b39","Calculator!"&amp;VLOOKUP(BO47,Calculator!$BO$7:$BP$38,2,FALSE))</f>
        <v>Calculator!b39</v>
      </c>
      <c r="BS47" s="196" t="s">
        <v>99</v>
      </c>
      <c r="BT47" s="22"/>
      <c r="BU47" s="10">
        <v>41</v>
      </c>
      <c r="BV47" s="197"/>
      <c r="BW47" s="200"/>
      <c r="BX47" s="199"/>
    </row>
    <row r="48" spans="65:77" x14ac:dyDescent="0.25">
      <c r="BO48" s="189" t="str">
        <f>Matches!F30</f>
        <v>Group A Winner</v>
      </c>
      <c r="BQ48" s="189" t="str">
        <f>IF(ISERROR("Calculator!"&amp;VLOOKUP(BO48,Calculator!$BO$7:$BP$38,2,FALSE)),"Calculator!b39","Calculator!"&amp;VLOOKUP(BO48,Calculator!$BO$7:$BP$38,2,FALSE))</f>
        <v>Calculator!b39</v>
      </c>
      <c r="BS48" s="196" t="s">
        <v>100</v>
      </c>
      <c r="BT48" s="22"/>
      <c r="BU48" s="10">
        <v>42</v>
      </c>
      <c r="BV48" s="197"/>
      <c r="BW48" s="200"/>
      <c r="BX48" s="199"/>
    </row>
    <row r="49" spans="67:77" x14ac:dyDescent="0.25">
      <c r="BO49" s="189" t="str">
        <f>Matches!F31</f>
        <v>Group B Winner</v>
      </c>
      <c r="BQ49" s="189" t="str">
        <f>IF(ISERROR("Calculator!"&amp;VLOOKUP(BO49,Calculator!$BO$7:$BP$38,2,FALSE)),"Calculator!b39","Calculator!"&amp;VLOOKUP(BO49,Calculator!$BO$7:$BP$38,2,FALSE))</f>
        <v>Calculator!b39</v>
      </c>
      <c r="BS49" s="196" t="s">
        <v>101</v>
      </c>
      <c r="BT49" s="22"/>
      <c r="BU49" s="10">
        <v>43</v>
      </c>
      <c r="BV49" s="197"/>
      <c r="BW49" s="200"/>
      <c r="BX49" s="199"/>
      <c r="BY49" s="189" t="e">
        <f>SUM(Matches!#REF!)</f>
        <v>#REF!</v>
      </c>
    </row>
    <row r="50" spans="67:77" x14ac:dyDescent="0.25">
      <c r="BO50" s="189" t="str">
        <f>Matches!F32</f>
        <v>Group C Winner</v>
      </c>
      <c r="BQ50" s="189" t="str">
        <f>IF(ISERROR("Calculator!"&amp;VLOOKUP(BO50,Calculator!$BO$7:$BP$38,2,FALSE)),"Calculator!b39","Calculator!"&amp;VLOOKUP(BO50,Calculator!$BO$7:$BP$38,2,FALSE))</f>
        <v>Calculator!b39</v>
      </c>
      <c r="BS50" s="196" t="s">
        <v>102</v>
      </c>
      <c r="BT50" s="22"/>
      <c r="BU50" s="10">
        <v>44</v>
      </c>
      <c r="BV50" s="197"/>
      <c r="BW50" s="200"/>
      <c r="BX50" s="199"/>
    </row>
    <row r="51" spans="67:77" x14ac:dyDescent="0.25">
      <c r="BO51" s="189" t="str">
        <f>Matches!F33</f>
        <v>Group D Winner</v>
      </c>
      <c r="BQ51" s="189" t="str">
        <f>IF(ISERROR("Calculator!"&amp;VLOOKUP(BO51,Calculator!$BO$7:$BP$38,2,FALSE)),"Calculator!b39","Calculator!"&amp;VLOOKUP(BO51,Calculator!$BO$7:$BP$38,2,FALSE))</f>
        <v>Calculator!b39</v>
      </c>
      <c r="BS51" s="196" t="s">
        <v>103</v>
      </c>
      <c r="BT51" s="22"/>
      <c r="BU51" s="10">
        <v>45</v>
      </c>
      <c r="BV51" s="197"/>
      <c r="BW51" s="200"/>
      <c r="BX51" s="199"/>
    </row>
    <row r="52" spans="67:77" x14ac:dyDescent="0.25">
      <c r="BO52" s="189" t="str">
        <f>Matches!F34</f>
        <v>Match 25 Winner</v>
      </c>
      <c r="BQ52" s="189" t="str">
        <f>IF(ISERROR("Calculator!"&amp;VLOOKUP(BO52,Calculator!$BO$7:$BP$38,2,FALSE)),"Calculator!b39","Calculator!"&amp;VLOOKUP(BO52,Calculator!$BO$7:$BP$38,2,FALSE))</f>
        <v>Calculator!b39</v>
      </c>
      <c r="BS52" s="196" t="s">
        <v>104</v>
      </c>
      <c r="BT52" s="22"/>
      <c r="BU52" s="10">
        <v>46</v>
      </c>
      <c r="BV52" s="197"/>
      <c r="BW52" s="200"/>
      <c r="BX52" s="199"/>
    </row>
    <row r="53" spans="67:77" x14ac:dyDescent="0.25">
      <c r="BO53" s="189" t="str">
        <f>Matches!F35</f>
        <v>Match 27 Winner</v>
      </c>
      <c r="BQ53" s="189" t="str">
        <f>IF(ISERROR("Calculator!"&amp;VLOOKUP(BO53,Calculator!$BO$7:$BP$38,2,FALSE)),"Calculator!b39","Calculator!"&amp;VLOOKUP(BO53,Calculator!$BO$7:$BP$38,2,FALSE))</f>
        <v>Calculator!b39</v>
      </c>
      <c r="BS53" s="196" t="s">
        <v>105</v>
      </c>
      <c r="BT53" s="22"/>
      <c r="BU53" s="10">
        <v>47</v>
      </c>
      <c r="BV53" s="197"/>
      <c r="BW53" s="200"/>
      <c r="BX53" s="199"/>
    </row>
    <row r="54" spans="67:77" x14ac:dyDescent="0.25">
      <c r="BO54" s="189" t="str">
        <f>Matches!F36</f>
        <v>Match 29 Loser</v>
      </c>
      <c r="BQ54" s="189" t="str">
        <f>IF(ISERROR("Calculator!"&amp;VLOOKUP(BO54,Calculator!$BO$7:$BP$38,2,FALSE)),"Calculator!b39","Calculator!"&amp;VLOOKUP(BO54,Calculator!$BO$7:$BP$38,2,FALSE))</f>
        <v>Calculator!b39</v>
      </c>
      <c r="BS54" s="196" t="s">
        <v>106</v>
      </c>
      <c r="BT54" s="22"/>
      <c r="BU54" s="10">
        <v>48</v>
      </c>
      <c r="BV54" s="197"/>
      <c r="BW54" s="200"/>
      <c r="BX54" s="199"/>
    </row>
    <row r="55" spans="67:77" x14ac:dyDescent="0.25">
      <c r="BO55" s="189" t="str">
        <f>Matches!F37</f>
        <v>Match 29 Winner</v>
      </c>
      <c r="BQ55" s="189" t="str">
        <f>IF(ISERROR("Calculator!"&amp;VLOOKUP(BO55,Calculator!$BO$7:$BP$38,2,FALSE)),"Calculator!b39","Calculator!"&amp;VLOOKUP(BO55,Calculator!$BO$7:$BP$38,2,FALSE))</f>
        <v>Calculator!b39</v>
      </c>
      <c r="BS55" s="196" t="s">
        <v>107</v>
      </c>
      <c r="BT55" s="22"/>
      <c r="BU55" s="10">
        <v>49</v>
      </c>
      <c r="BV55" s="197"/>
      <c r="BW55" s="200"/>
      <c r="BX55" s="199"/>
    </row>
    <row r="56" spans="67:77" x14ac:dyDescent="0.25">
      <c r="BO56" s="189" t="e">
        <f>Matches!#REF!</f>
        <v>#REF!</v>
      </c>
      <c r="BQ56" s="189" t="str">
        <f>IF(ISERROR("Calculator!"&amp;VLOOKUP(BO56,Calculator!$BO$7:$BP$38,2,FALSE)),"Calculator!b39","Calculator!"&amp;VLOOKUP(BO56,Calculator!$BO$7:$BP$38,2,FALSE))</f>
        <v>Calculator!b39</v>
      </c>
      <c r="BS56" s="196"/>
      <c r="BT56" s="22"/>
      <c r="BU56" s="10">
        <v>50</v>
      </c>
      <c r="BV56" s="197"/>
      <c r="BW56" s="200"/>
      <c r="BX56" s="199"/>
    </row>
    <row r="57" spans="67:77" x14ac:dyDescent="0.25">
      <c r="BO57" s="189" t="e">
        <f>Matches!#REF!</f>
        <v>#REF!</v>
      </c>
      <c r="BQ57" s="189" t="str">
        <f>IF(ISERROR("Calculator!"&amp;VLOOKUP(BO57,Calculator!$BO$7:$BP$38,2,FALSE)),"Calculator!b39","Calculator!"&amp;VLOOKUP(BO57,Calculator!$BO$7:$BP$38,2,FALSE))</f>
        <v>Calculator!b39</v>
      </c>
      <c r="BT57" s="22"/>
      <c r="BU57" s="10">
        <v>51</v>
      </c>
      <c r="BV57" s="197"/>
      <c r="BW57" s="200"/>
      <c r="BX57" s="199"/>
    </row>
    <row r="58" spans="67:77" x14ac:dyDescent="0.25">
      <c r="BO58" s="189" t="e">
        <f>Matches!#REF!</f>
        <v>#REF!</v>
      </c>
      <c r="BQ58" s="189" t="str">
        <f>IF(ISERROR("Calculator!"&amp;VLOOKUP(BO58,Calculator!$BO$7:$BP$38,2,FALSE)),"Calculator!b39","Calculator!"&amp;VLOOKUP(BO58,Calculator!$BO$7:$BP$38,2,FALSE))</f>
        <v>Calculator!b39</v>
      </c>
      <c r="BT58" s="22"/>
      <c r="BU58" s="10">
        <v>52</v>
      </c>
      <c r="BV58" s="197"/>
      <c r="BW58" s="200"/>
      <c r="BX58" s="199"/>
    </row>
    <row r="59" spans="67:77" x14ac:dyDescent="0.25">
      <c r="BO59" s="189" t="e">
        <f>Matches!#REF!</f>
        <v>#REF!</v>
      </c>
      <c r="BQ59" s="189" t="str">
        <f>IF(ISERROR("Calculator!"&amp;VLOOKUP(BO59,Calculator!$BO$7:$BP$38,2,FALSE)),"Calculator!b39","Calculator!"&amp;VLOOKUP(BO59,Calculator!$BO$7:$BP$38,2,FALSE))</f>
        <v>Calculator!b39</v>
      </c>
      <c r="BT59" s="22"/>
      <c r="BU59" s="10">
        <v>53</v>
      </c>
      <c r="BV59" s="197"/>
      <c r="BW59" s="200"/>
      <c r="BX59" s="199"/>
    </row>
    <row r="60" spans="67:77" x14ac:dyDescent="0.25">
      <c r="BO60" s="189" t="e">
        <f>Matches!#REF!</f>
        <v>#REF!</v>
      </c>
      <c r="BQ60" s="189" t="str">
        <f>IF(ISERROR("Calculator!"&amp;VLOOKUP(BO60,Calculator!$BO$7:$BP$38,2,FALSE)),"Calculator!b39","Calculator!"&amp;VLOOKUP(BO60,Calculator!$BO$7:$BP$38,2,FALSE))</f>
        <v>Calculator!b39</v>
      </c>
      <c r="BT60" s="22"/>
      <c r="BU60" s="10">
        <v>54</v>
      </c>
      <c r="BV60" s="197"/>
      <c r="BW60" s="200"/>
      <c r="BX60" s="199"/>
    </row>
    <row r="61" spans="67:77" x14ac:dyDescent="0.25">
      <c r="BO61" s="189" t="e">
        <f>Matches!#REF!</f>
        <v>#REF!</v>
      </c>
      <c r="BQ61" s="189" t="str">
        <f>IF(ISERROR("Calculator!"&amp;VLOOKUP(BO61,Calculator!$BO$7:$BP$38,2,FALSE)),"Calculator!b39","Calculator!"&amp;VLOOKUP(BO61,Calculator!$BO$7:$BP$38,2,FALSE))</f>
        <v>Calculator!b39</v>
      </c>
      <c r="BT61" s="22"/>
      <c r="BU61" s="10">
        <v>55</v>
      </c>
      <c r="BV61" s="197"/>
      <c r="BW61" s="200"/>
      <c r="BX61" s="199"/>
    </row>
    <row r="62" spans="67:77" x14ac:dyDescent="0.25">
      <c r="BO62" s="189" t="e">
        <f>Matches!#REF!</f>
        <v>#REF!</v>
      </c>
      <c r="BQ62" s="189" t="str">
        <f>IF(ISERROR("Calculator!"&amp;VLOOKUP(BO62,Calculator!$BO$7:$BP$38,2,FALSE)),"Calculator!b39","Calculator!"&amp;VLOOKUP(BO62,Calculator!$BO$7:$BP$38,2,FALSE))</f>
        <v>Calculator!b39</v>
      </c>
      <c r="BT62" s="22"/>
      <c r="BU62" s="10">
        <v>56</v>
      </c>
      <c r="BV62" s="197"/>
      <c r="BW62" s="200"/>
      <c r="BX62" s="199"/>
    </row>
    <row r="63" spans="67:77" x14ac:dyDescent="0.25">
      <c r="BO63" s="189" t="e">
        <f>Matches!#REF!</f>
        <v>#REF!</v>
      </c>
      <c r="BQ63" s="189" t="str">
        <f>IF(ISERROR("Calculator!"&amp;VLOOKUP(BO63,Calculator!$BO$7:$BP$38,2,FALSE)),"Calculator!b39","Calculator!"&amp;VLOOKUP(BO63,Calculator!$BO$7:$BP$38,2,FALSE))</f>
        <v>Calculator!b39</v>
      </c>
      <c r="BT63" s="22"/>
      <c r="BU63" s="10">
        <v>57</v>
      </c>
      <c r="BV63" s="197"/>
      <c r="BW63" s="200"/>
      <c r="BX63" s="199"/>
    </row>
    <row r="64" spans="67:77" x14ac:dyDescent="0.25">
      <c r="BO64" s="189" t="str">
        <f>Matches!K30</f>
        <v>Group B Runner Up</v>
      </c>
      <c r="BQ64" s="189" t="str">
        <f>IF(ISERROR("Calculator!"&amp;VLOOKUP(BO64,Calculator!$BO$7:$BP$38,2,FALSE)),"Calculator!b39","Calculator!"&amp;VLOOKUP(BO64,Calculator!$BO$7:$BP$38,2,FALSE))</f>
        <v>Calculator!b39</v>
      </c>
      <c r="BT64" s="22"/>
      <c r="BU64" s="10">
        <v>58</v>
      </c>
      <c r="BV64" s="197"/>
      <c r="BW64" s="200"/>
      <c r="BX64" s="199"/>
    </row>
    <row r="65" spans="67:76" x14ac:dyDescent="0.25">
      <c r="BO65" s="189" t="str">
        <f>Matches!K31</f>
        <v>Group A Runner Up</v>
      </c>
      <c r="BQ65" s="189" t="str">
        <f>IF(ISERROR("Calculator!"&amp;VLOOKUP(BO65,Calculator!$BO$7:$BP$38,2,FALSE)),"Calculator!b39","Calculator!"&amp;VLOOKUP(BO65,Calculator!$BO$7:$BP$38,2,FALSE))</f>
        <v>Calculator!b39</v>
      </c>
      <c r="BT65" s="22"/>
      <c r="BU65" s="10">
        <v>59</v>
      </c>
      <c r="BV65" s="197"/>
      <c r="BW65" s="200"/>
      <c r="BX65" s="199"/>
    </row>
    <row r="66" spans="67:76" x14ac:dyDescent="0.25">
      <c r="BO66" s="189" t="str">
        <f>Matches!K32</f>
        <v>Group D Runner Up</v>
      </c>
      <c r="BQ66" s="189" t="str">
        <f>IF(ISERROR("Calculator!"&amp;VLOOKUP(BO66,Calculator!$BO$7:$BP$38,2,FALSE)),"Calculator!b39","Calculator!"&amp;VLOOKUP(BO66,Calculator!$BO$7:$BP$38,2,FALSE))</f>
        <v>Calculator!b39</v>
      </c>
      <c r="BT66" s="22"/>
      <c r="BU66" s="10">
        <v>60</v>
      </c>
      <c r="BV66" s="197"/>
      <c r="BW66" s="200"/>
      <c r="BX66" s="199"/>
    </row>
    <row r="67" spans="67:76" x14ac:dyDescent="0.25">
      <c r="BO67" s="189" t="str">
        <f>Matches!K33</f>
        <v>Group C Runner Up</v>
      </c>
      <c r="BQ67" s="189" t="str">
        <f>IF(ISERROR("Calculator!"&amp;VLOOKUP(BO67,Calculator!$BO$7:$BP$38,2,FALSE)),"Calculator!b39","Calculator!"&amp;VLOOKUP(BO67,Calculator!$BO$7:$BP$38,2,FALSE))</f>
        <v>Calculator!b39</v>
      </c>
      <c r="BT67" s="22"/>
      <c r="BU67" s="10">
        <v>61</v>
      </c>
      <c r="BV67" s="197"/>
      <c r="BW67" s="200"/>
      <c r="BX67" s="199"/>
    </row>
    <row r="68" spans="67:76" x14ac:dyDescent="0.25">
      <c r="BO68" s="189" t="str">
        <f>Matches!K34</f>
        <v>Match 26 Winner</v>
      </c>
      <c r="BQ68" s="189" t="str">
        <f>IF(ISERROR("Calculator!"&amp;VLOOKUP(BO68,Calculator!$BO$7:$BP$38,2,FALSE)),"Calculator!b39","Calculator!"&amp;VLOOKUP(BO68,Calculator!$BO$7:$BP$38,2,FALSE))</f>
        <v>Calculator!b39</v>
      </c>
      <c r="BT68" s="22"/>
      <c r="BU68" s="10">
        <v>62</v>
      </c>
      <c r="BV68" s="197"/>
      <c r="BW68" s="200"/>
      <c r="BX68" s="199"/>
    </row>
    <row r="69" spans="67:76" x14ac:dyDescent="0.25">
      <c r="BO69" s="189" t="str">
        <f>Matches!K35</f>
        <v>Match 28 Winner</v>
      </c>
      <c r="BQ69" s="189" t="str">
        <f>IF(ISERROR("Calculator!"&amp;VLOOKUP(BO69,Calculator!$BO$7:$BP$38,2,FALSE)),"Calculator!b39","Calculator!"&amp;VLOOKUP(BO69,Calculator!$BO$7:$BP$38,2,FALSE))</f>
        <v>Calculator!b39</v>
      </c>
      <c r="BT69" s="22"/>
      <c r="BU69" s="10">
        <v>63</v>
      </c>
      <c r="BV69" s="197"/>
      <c r="BW69" s="200"/>
      <c r="BX69" s="199"/>
    </row>
    <row r="70" spans="67:76" x14ac:dyDescent="0.25">
      <c r="BO70" s="189" t="str">
        <f>Matches!K36</f>
        <v>Match 30 Loser</v>
      </c>
      <c r="BQ70" s="189" t="str">
        <f>IF(ISERROR("Calculator!"&amp;VLOOKUP(BO70,Calculator!$BO$7:$BP$38,2,FALSE)),"Calculator!b39","Calculator!"&amp;VLOOKUP(BO70,Calculator!$BO$7:$BP$38,2,FALSE))</f>
        <v>Calculator!b39</v>
      </c>
      <c r="BT70" s="22"/>
      <c r="BU70" s="10">
        <v>64</v>
      </c>
      <c r="BV70" s="197"/>
      <c r="BW70" s="200"/>
      <c r="BX70" s="199"/>
    </row>
    <row r="71" spans="67:76" x14ac:dyDescent="0.25">
      <c r="BO71" s="189" t="str">
        <f>Matches!K37</f>
        <v>Match 30 Winner</v>
      </c>
      <c r="BQ71" s="189" t="str">
        <f>IF(ISERROR("Calculator!"&amp;VLOOKUP(BO71,Calculator!$BO$7:$BP$38,2,FALSE)),"Calculator!b39","Calculator!"&amp;VLOOKUP(BO71,Calculator!$BO$7:$BP$38,2,FALSE))</f>
        <v>Calculator!b39</v>
      </c>
      <c r="BT71" s="22"/>
      <c r="BU71" s="22"/>
      <c r="BV71" s="22"/>
      <c r="BW71" s="191"/>
      <c r="BX71" s="22"/>
    </row>
    <row r="72" spans="67:76" x14ac:dyDescent="0.25">
      <c r="BO72" s="189" t="str">
        <f>Matches!B42</f>
        <v>COPA AMERICA 2024 CHAMPION</v>
      </c>
      <c r="BQ72" s="189" t="str">
        <f>IF(ISERROR("Calculator!"&amp;VLOOKUP(BO72,Calculator!$BO$7:$BP$38,2,FALSE)),"Calculator!b39","Calculator!"&amp;VLOOKUP(BO72,Calculator!$BO$7:$BP$38,2,FALSE))</f>
        <v>Calculator!b39</v>
      </c>
      <c r="BT72" s="22"/>
      <c r="BU72" s="22"/>
      <c r="BV72" s="22"/>
      <c r="BW72" s="191"/>
      <c r="BX72" s="22"/>
    </row>
    <row r="73" spans="67:76" x14ac:dyDescent="0.25">
      <c r="BO73" s="189" t="str">
        <f>Matches!P40</f>
        <v>COPA AMERICA 2024 RUNNER UP</v>
      </c>
      <c r="BQ73" s="189" t="str">
        <f>IF(ISERROR("Calculator!"&amp;VLOOKUP(BO73,Calculator!$BO$7:$BP$38,2,FALSE)),"Calculator!b39","Calculator!"&amp;VLOOKUP(BO73,Calculator!$BO$7:$BP$38,2,FALSE))</f>
        <v>Calculator!b39</v>
      </c>
      <c r="BT73" s="22"/>
      <c r="BU73" s="22"/>
      <c r="BV73" s="22"/>
      <c r="BW73" s="191"/>
      <c r="BX73" s="22"/>
    </row>
    <row r="74" spans="67:76" x14ac:dyDescent="0.25">
      <c r="BO74" s="189" t="str">
        <f>Matches!P43</f>
        <v>COPA AMERICA 2024 3RD PLACE</v>
      </c>
      <c r="BQ74" s="189" t="str">
        <f>IF(ISERROR("Calculator!"&amp;VLOOKUP(BO74,Calculator!$BO$7:$BP$38,2,FALSE)),"Calculator!b39","Calculator!"&amp;VLOOKUP(BO74,Calculator!$BO$7:$BP$38,2,FALSE))</f>
        <v>Calculator!b39</v>
      </c>
      <c r="BT74" s="22"/>
      <c r="BU74" s="22"/>
      <c r="BV74" s="22"/>
      <c r="BW74" s="191"/>
      <c r="BX74" s="22"/>
    </row>
    <row r="75" spans="67:76" x14ac:dyDescent="0.25">
      <c r="BT75" s="22"/>
      <c r="BU75" s="22"/>
      <c r="BV75" s="22"/>
      <c r="BW75" s="191"/>
      <c r="BX75" s="22"/>
    </row>
    <row r="76" spans="67:76" x14ac:dyDescent="0.25">
      <c r="BT76" s="22"/>
      <c r="BU76" s="22"/>
      <c r="BV76" s="22"/>
      <c r="BW76" s="191"/>
      <c r="BX76" s="22"/>
    </row>
    <row r="77" spans="67:76" x14ac:dyDescent="0.25">
      <c r="BT77" s="22"/>
      <c r="BU77" s="22"/>
      <c r="BV77" s="22"/>
      <c r="BW77" s="191"/>
      <c r="BX77" s="22"/>
    </row>
    <row r="78" spans="67:76" x14ac:dyDescent="0.25">
      <c r="BT78" s="22"/>
      <c r="BU78" s="22"/>
      <c r="BV78" s="22"/>
      <c r="BW78" s="191"/>
      <c r="BX78" s="22"/>
    </row>
    <row r="79" spans="67:76" x14ac:dyDescent="0.25">
      <c r="BT79" s="22"/>
      <c r="BU79" s="22"/>
      <c r="BV79" s="22"/>
      <c r="BW79" s="191"/>
      <c r="BX79" s="22"/>
    </row>
    <row r="80" spans="67:76" x14ac:dyDescent="0.25">
      <c r="BT80" s="22"/>
      <c r="BU80" s="22"/>
      <c r="BV80" s="22"/>
      <c r="BW80" s="191"/>
      <c r="BX80" s="22"/>
    </row>
    <row r="81" spans="72:76" x14ac:dyDescent="0.25">
      <c r="BT81" s="22"/>
      <c r="BU81" s="22"/>
      <c r="BV81" s="22"/>
      <c r="BW81" s="191"/>
      <c r="BX81" s="22"/>
    </row>
    <row r="82" spans="72:76" x14ac:dyDescent="0.25">
      <c r="BT82" s="22"/>
      <c r="BU82" s="22"/>
      <c r="BV82" s="22"/>
      <c r="BW82" s="191"/>
      <c r="BX82" s="22"/>
    </row>
    <row r="83" spans="72:76" x14ac:dyDescent="0.25">
      <c r="BT83" s="22"/>
      <c r="BU83" s="22"/>
      <c r="BV83" s="22"/>
      <c r="BW83" s="191"/>
      <c r="BX83" s="22"/>
    </row>
    <row r="84" spans="72:76" x14ac:dyDescent="0.25">
      <c r="BT84" s="22"/>
      <c r="BU84" s="22"/>
      <c r="BV84" s="22"/>
      <c r="BW84" s="200"/>
      <c r="BX84" s="22"/>
    </row>
    <row r="85" spans="72:76" x14ac:dyDescent="0.25">
      <c r="BT85" s="22"/>
      <c r="BU85" s="22"/>
      <c r="BV85" s="22"/>
      <c r="BW85" s="191"/>
      <c r="BX85" s="22"/>
    </row>
    <row r="86" spans="72:76" x14ac:dyDescent="0.25">
      <c r="BT86" s="22"/>
      <c r="BU86" s="22"/>
      <c r="BV86" s="22"/>
      <c r="BW86" s="191"/>
      <c r="BX86" s="22"/>
    </row>
    <row r="87" spans="72:76" x14ac:dyDescent="0.25">
      <c r="BT87" s="22"/>
      <c r="BU87" s="22"/>
      <c r="BV87" s="22"/>
      <c r="BW87" s="191"/>
      <c r="BX87" s="22"/>
    </row>
    <row r="88" spans="72:76" x14ac:dyDescent="0.25">
      <c r="BT88" s="22"/>
      <c r="BU88" s="22"/>
      <c r="BV88" s="22"/>
      <c r="BW88" s="191"/>
      <c r="BX88" s="22"/>
    </row>
    <row r="89" spans="72:76" x14ac:dyDescent="0.25">
      <c r="BT89" s="22"/>
      <c r="BU89" s="22"/>
      <c r="BV89" s="22"/>
      <c r="BW89" s="191"/>
      <c r="BX89" s="22"/>
    </row>
    <row r="90" spans="72:76" x14ac:dyDescent="0.25">
      <c r="BT90" s="22"/>
      <c r="BU90" s="22"/>
      <c r="BV90" s="22"/>
      <c r="BW90" s="200"/>
      <c r="BX90" s="22"/>
    </row>
    <row r="91" spans="72:76" x14ac:dyDescent="0.25">
      <c r="BT91" s="22"/>
      <c r="BU91" s="22"/>
      <c r="BV91" s="22"/>
      <c r="BW91" s="191"/>
      <c r="BX91" s="22"/>
    </row>
    <row r="92" spans="72:76" x14ac:dyDescent="0.25">
      <c r="BT92" s="22"/>
      <c r="BU92" s="22"/>
      <c r="BV92" s="22"/>
      <c r="BW92" s="191"/>
      <c r="BX92" s="22"/>
    </row>
    <row r="93" spans="72:76" x14ac:dyDescent="0.25">
      <c r="BT93" s="22"/>
      <c r="BU93" s="22"/>
      <c r="BV93" s="22"/>
      <c r="BW93" s="191"/>
      <c r="BX93" s="22"/>
    </row>
    <row r="94" spans="72:76" x14ac:dyDescent="0.25">
      <c r="BT94" s="22"/>
      <c r="BU94" s="22"/>
      <c r="BV94" s="22"/>
      <c r="BW94" s="191"/>
      <c r="BX94" s="22"/>
    </row>
    <row r="95" spans="72:76" x14ac:dyDescent="0.25">
      <c r="BT95" s="22"/>
      <c r="BU95" s="22"/>
      <c r="BV95" s="22"/>
      <c r="BW95" s="191"/>
      <c r="BX95" s="22"/>
    </row>
    <row r="96" spans="72:76" x14ac:dyDescent="0.25">
      <c r="BT96" s="22"/>
      <c r="BU96" s="22"/>
      <c r="BV96" s="22"/>
      <c r="BW96" s="200"/>
      <c r="BX96" s="22"/>
    </row>
    <row r="97" spans="72:76" x14ac:dyDescent="0.25">
      <c r="BT97" s="22"/>
      <c r="BU97" s="22"/>
      <c r="BV97" s="22"/>
      <c r="BW97" s="191"/>
      <c r="BX97" s="22"/>
    </row>
    <row r="98" spans="72:76" x14ac:dyDescent="0.25">
      <c r="BT98" s="22"/>
      <c r="BU98" s="22"/>
      <c r="BV98" s="22"/>
      <c r="BW98" s="191"/>
      <c r="BX98" s="22"/>
    </row>
    <row r="99" spans="72:76" x14ac:dyDescent="0.25">
      <c r="BT99" s="22"/>
      <c r="BU99" s="22"/>
      <c r="BV99" s="22"/>
      <c r="BW99" s="191"/>
      <c r="BX99" s="22"/>
    </row>
    <row r="100" spans="72:76" x14ac:dyDescent="0.25">
      <c r="BT100" s="22"/>
      <c r="BU100" s="22"/>
      <c r="BV100" s="22"/>
      <c r="BW100" s="191"/>
      <c r="BX100" s="22"/>
    </row>
    <row r="101" spans="72:76" x14ac:dyDescent="0.25">
      <c r="BT101" s="22"/>
      <c r="BU101" s="22"/>
      <c r="BV101" s="22"/>
      <c r="BW101" s="191"/>
      <c r="BX101" s="22"/>
    </row>
    <row r="102" spans="72:76" x14ac:dyDescent="0.25">
      <c r="BT102" s="22"/>
      <c r="BU102" s="22"/>
      <c r="BV102" s="22"/>
      <c r="BW102" s="200"/>
      <c r="BX102" s="22"/>
    </row>
    <row r="103" spans="72:76" x14ac:dyDescent="0.25">
      <c r="BT103" s="22"/>
      <c r="BU103" s="22"/>
      <c r="BV103" s="22"/>
      <c r="BW103" s="200"/>
      <c r="BX103" s="22"/>
    </row>
    <row r="104" spans="72:76" x14ac:dyDescent="0.25">
      <c r="BT104" s="22"/>
      <c r="BU104" s="22"/>
      <c r="BV104" s="22"/>
      <c r="BW104" s="200"/>
      <c r="BX104" s="22"/>
    </row>
    <row r="105" spans="72:76" x14ac:dyDescent="0.25">
      <c r="BT105" s="22"/>
      <c r="BU105" s="22"/>
      <c r="BV105" s="22"/>
      <c r="BW105" s="200"/>
      <c r="BX105" s="22"/>
    </row>
    <row r="106" spans="72:76" x14ac:dyDescent="0.25">
      <c r="BT106" s="22"/>
      <c r="BU106" s="22"/>
      <c r="BV106" s="22"/>
      <c r="BW106" s="200"/>
      <c r="BX106" s="22"/>
    </row>
    <row r="107" spans="72:76" x14ac:dyDescent="0.25">
      <c r="BT107" s="22"/>
      <c r="BU107" s="22"/>
      <c r="BV107" s="22"/>
      <c r="BW107" s="200"/>
      <c r="BX107" s="22"/>
    </row>
    <row r="108" spans="72:76" x14ac:dyDescent="0.25">
      <c r="BT108" s="22"/>
      <c r="BU108" s="22"/>
      <c r="BV108" s="22"/>
      <c r="BW108" s="200"/>
      <c r="BX108" s="22"/>
    </row>
    <row r="109" spans="72:76" x14ac:dyDescent="0.25">
      <c r="BT109" s="22"/>
      <c r="BU109" s="22"/>
      <c r="BV109" s="22"/>
      <c r="BW109" s="200"/>
      <c r="BX109" s="22"/>
    </row>
    <row r="110" spans="72:76" x14ac:dyDescent="0.25">
      <c r="BT110" s="22"/>
      <c r="BU110" s="22"/>
      <c r="BV110" s="22"/>
      <c r="BW110" s="200"/>
      <c r="BX110" s="22"/>
    </row>
    <row r="111" spans="72:76" x14ac:dyDescent="0.25">
      <c r="BT111" s="22"/>
      <c r="BU111" s="22"/>
      <c r="BV111" s="22"/>
      <c r="BW111" s="200"/>
      <c r="BX111" s="22"/>
    </row>
    <row r="112" spans="72:76" x14ac:dyDescent="0.25">
      <c r="BT112" s="22"/>
      <c r="BU112" s="22"/>
      <c r="BV112" s="22"/>
      <c r="BW112" s="200"/>
      <c r="BX112" s="22"/>
    </row>
    <row r="113" spans="72:76" x14ac:dyDescent="0.25">
      <c r="BT113" s="22"/>
      <c r="BU113" s="22"/>
      <c r="BV113" s="22"/>
      <c r="BW113" s="200"/>
      <c r="BX113" s="22"/>
    </row>
    <row r="114" spans="72:76" x14ac:dyDescent="0.25">
      <c r="BT114" s="22"/>
      <c r="BU114" s="22"/>
      <c r="BV114" s="22"/>
      <c r="BW114" s="200"/>
      <c r="BX114" s="22"/>
    </row>
    <row r="115" spans="72:76" x14ac:dyDescent="0.25">
      <c r="BT115" s="22"/>
      <c r="BU115" s="22"/>
      <c r="BV115" s="22"/>
      <c r="BW115" s="200"/>
      <c r="BX115" s="22"/>
    </row>
    <row r="116" spans="72:76" x14ac:dyDescent="0.25">
      <c r="BT116" s="22"/>
      <c r="BU116" s="22"/>
      <c r="BV116" s="22"/>
      <c r="BW116" s="200"/>
      <c r="BX116" s="22"/>
    </row>
    <row r="117" spans="72:76" x14ac:dyDescent="0.25">
      <c r="BT117" s="22"/>
      <c r="BU117" s="22"/>
      <c r="BV117" s="22"/>
      <c r="BW117" s="200"/>
      <c r="BX117" s="22"/>
    </row>
    <row r="118" spans="72:76" x14ac:dyDescent="0.25">
      <c r="BT118" s="22"/>
      <c r="BU118" s="22"/>
      <c r="BV118" s="22"/>
      <c r="BW118" s="200"/>
      <c r="BX118" s="22"/>
    </row>
    <row r="119" spans="72:76" x14ac:dyDescent="0.25">
      <c r="BT119" s="22"/>
      <c r="BU119" s="22"/>
      <c r="BV119" s="22"/>
      <c r="BW119" s="200"/>
      <c r="BX119" s="22"/>
    </row>
    <row r="120" spans="72:76" x14ac:dyDescent="0.25">
      <c r="BT120" s="22"/>
      <c r="BU120" s="22"/>
      <c r="BV120" s="22"/>
      <c r="BW120" s="200"/>
      <c r="BX120" s="22"/>
    </row>
    <row r="121" spans="72:76" x14ac:dyDescent="0.25">
      <c r="BT121" s="22"/>
      <c r="BU121" s="22"/>
      <c r="BV121" s="22"/>
      <c r="BW121" s="200"/>
      <c r="BX121" s="22"/>
    </row>
    <row r="122" spans="72:76" x14ac:dyDescent="0.25">
      <c r="BT122" s="22"/>
      <c r="BU122" s="22"/>
      <c r="BV122" s="22"/>
      <c r="BW122" s="200"/>
      <c r="BX122" s="22"/>
    </row>
    <row r="123" spans="72:76" x14ac:dyDescent="0.25">
      <c r="BT123" s="22"/>
      <c r="BU123" s="22"/>
      <c r="BV123" s="22"/>
      <c r="BW123" s="200"/>
      <c r="BX123" s="22"/>
    </row>
    <row r="124" spans="72:76" x14ac:dyDescent="0.25">
      <c r="BT124" s="22"/>
      <c r="BU124" s="22"/>
      <c r="BV124" s="22"/>
      <c r="BW124" s="200"/>
      <c r="BX124" s="22"/>
    </row>
    <row r="125" spans="72:76" x14ac:dyDescent="0.25">
      <c r="BT125" s="22"/>
      <c r="BU125" s="22"/>
      <c r="BV125" s="22"/>
      <c r="BW125" s="200"/>
      <c r="BX125" s="22"/>
    </row>
    <row r="126" spans="72:76" x14ac:dyDescent="0.25">
      <c r="BT126" s="22"/>
      <c r="BU126" s="22"/>
      <c r="BV126" s="22"/>
      <c r="BW126" s="200"/>
      <c r="BX126" s="22"/>
    </row>
    <row r="127" spans="72:76" x14ac:dyDescent="0.25">
      <c r="BT127" s="22"/>
      <c r="BU127" s="22"/>
      <c r="BV127" s="22"/>
      <c r="BW127" s="200"/>
      <c r="BX127" s="22"/>
    </row>
    <row r="128" spans="72:76" x14ac:dyDescent="0.25">
      <c r="BT128" s="22"/>
      <c r="BU128" s="22"/>
      <c r="BV128" s="22"/>
      <c r="BW128" s="191"/>
      <c r="BX128" s="22"/>
    </row>
    <row r="129" spans="72:76" x14ac:dyDescent="0.25">
      <c r="BT129" s="22"/>
      <c r="BU129" s="22"/>
      <c r="BV129" s="22"/>
      <c r="BW129" s="191"/>
      <c r="BX129" s="22"/>
    </row>
    <row r="130" spans="72:76" x14ac:dyDescent="0.25">
      <c r="BT130" s="22"/>
      <c r="BU130" s="22"/>
      <c r="BV130" s="22"/>
      <c r="BW130" s="191"/>
      <c r="BX130" s="22"/>
    </row>
    <row r="131" spans="72:76" x14ac:dyDescent="0.25">
      <c r="BT131" s="22"/>
      <c r="BU131" s="22"/>
      <c r="BV131" s="22"/>
      <c r="BW131" s="191"/>
      <c r="BX131" s="22"/>
    </row>
    <row r="132" spans="72:76" x14ac:dyDescent="0.25">
      <c r="BT132" s="22"/>
      <c r="BU132" s="22"/>
      <c r="BV132" s="22"/>
      <c r="BW132" s="191"/>
      <c r="BX132" s="22"/>
    </row>
    <row r="133" spans="72:76" x14ac:dyDescent="0.25">
      <c r="BT133" s="22"/>
      <c r="BU133" s="22"/>
      <c r="BV133" s="22"/>
      <c r="BW133" s="191"/>
      <c r="BX133" s="22"/>
    </row>
    <row r="134" spans="72:76" x14ac:dyDescent="0.25">
      <c r="BT134" s="22"/>
      <c r="BU134" s="22"/>
      <c r="BV134" s="22"/>
      <c r="BW134" s="191"/>
      <c r="BX134" s="22"/>
    </row>
    <row r="135" spans="72:76" x14ac:dyDescent="0.25">
      <c r="BT135" s="22"/>
      <c r="BU135" s="22"/>
      <c r="BV135" s="22"/>
      <c r="BW135" s="191"/>
      <c r="BX135" s="22"/>
    </row>
    <row r="136" spans="72:76" x14ac:dyDescent="0.25">
      <c r="BT136" s="22"/>
      <c r="BU136" s="22"/>
      <c r="BV136" s="22"/>
      <c r="BW136" s="191"/>
      <c r="BX136" s="22"/>
    </row>
    <row r="137" spans="72:76" x14ac:dyDescent="0.25">
      <c r="BT137" s="22"/>
      <c r="BU137" s="22"/>
      <c r="BV137" s="22"/>
      <c r="BW137" s="191"/>
      <c r="BX137" s="22"/>
    </row>
    <row r="138" spans="72:76" x14ac:dyDescent="0.25">
      <c r="BT138" s="22"/>
      <c r="BU138" s="22"/>
      <c r="BV138" s="22"/>
      <c r="BW138" s="191"/>
      <c r="BX138" s="22"/>
    </row>
    <row r="139" spans="72:76" x14ac:dyDescent="0.25">
      <c r="BT139" s="22"/>
      <c r="BU139" s="22"/>
      <c r="BV139" s="22"/>
      <c r="BW139" s="191"/>
      <c r="BX139" s="22"/>
    </row>
    <row r="140" spans="72:76" x14ac:dyDescent="0.25">
      <c r="BT140" s="22"/>
      <c r="BU140" s="22"/>
      <c r="BV140" s="22"/>
      <c r="BW140" s="191"/>
      <c r="BX140" s="22"/>
    </row>
    <row r="141" spans="72:76" x14ac:dyDescent="0.25">
      <c r="BT141" s="22"/>
      <c r="BU141" s="22"/>
      <c r="BV141" s="22"/>
      <c r="BW141" s="191"/>
      <c r="BX141" s="22"/>
    </row>
    <row r="142" spans="72:76" x14ac:dyDescent="0.25">
      <c r="BT142" s="22"/>
      <c r="BU142" s="22"/>
      <c r="BV142" s="22"/>
      <c r="BW142" s="191"/>
      <c r="BX142" s="22"/>
    </row>
    <row r="143" spans="72:76" x14ac:dyDescent="0.25">
      <c r="BT143" s="22"/>
      <c r="BU143" s="22"/>
      <c r="BV143" s="22"/>
      <c r="BW143" s="191"/>
      <c r="BX143" s="22"/>
    </row>
    <row r="144" spans="72:76" x14ac:dyDescent="0.25">
      <c r="BT144" s="22"/>
      <c r="BU144" s="22"/>
      <c r="BV144" s="22"/>
      <c r="BW144" s="191"/>
      <c r="BX144" s="22"/>
    </row>
    <row r="145" spans="65:77" x14ac:dyDescent="0.25">
      <c r="BM145" s="201" t="str">
        <f>INDEX(Language!$A$1:$K$80,MATCH("Language",Language!$B$1:$B$80,0),MATCH(Setup!$C$5,Language!$A$1:$J$1,0))</f>
        <v>Language</v>
      </c>
      <c r="BN145" s="201"/>
      <c r="BO145" s="202"/>
      <c r="BP145" s="203"/>
      <c r="BQ145" s="204" t="s">
        <v>108</v>
      </c>
      <c r="BT145" s="22"/>
      <c r="BU145" s="22"/>
      <c r="BV145" s="22"/>
      <c r="BW145" s="191"/>
      <c r="BX145" s="22"/>
    </row>
    <row r="146" spans="65:77" x14ac:dyDescent="0.25">
      <c r="BM146" s="201"/>
      <c r="BN146" s="201"/>
      <c r="BO146" s="202"/>
      <c r="BP146" s="203"/>
      <c r="BQ146" s="204"/>
      <c r="BT146" s="22"/>
      <c r="BU146" s="22"/>
      <c r="BV146" s="22"/>
      <c r="BW146" s="191"/>
      <c r="BX146" s="22"/>
      <c r="BY146" s="205"/>
    </row>
    <row r="147" spans="65:77" x14ac:dyDescent="0.25">
      <c r="BM147" s="201" t="str">
        <f>INDEX(Language!$A$1:$K$80,MATCH("Timezone",Language!$B$1:$B$80,0),MATCH(Setup!$C$5,Language!$A$1:$J$1,0))</f>
        <v>Timezone</v>
      </c>
      <c r="BN147" s="201"/>
      <c r="BO147" s="202"/>
      <c r="BP147" s="203"/>
      <c r="BQ147" s="204" t="s">
        <v>108</v>
      </c>
      <c r="BT147" s="22"/>
      <c r="BU147" s="22"/>
      <c r="BV147" s="22"/>
      <c r="BW147" s="191"/>
      <c r="BX147" s="22"/>
      <c r="BY147" s="205"/>
    </row>
    <row r="148" spans="65:77" x14ac:dyDescent="0.25">
      <c r="BT148" s="22"/>
      <c r="BU148" s="22"/>
      <c r="BV148" s="22"/>
      <c r="BW148" s="191"/>
      <c r="BX148" s="22"/>
      <c r="BY148" s="205"/>
    </row>
    <row r="149" spans="65:77" x14ac:dyDescent="0.25">
      <c r="BT149" s="22"/>
      <c r="BU149" s="22"/>
      <c r="BV149" s="22"/>
      <c r="BW149" s="191"/>
      <c r="BX149" s="22"/>
    </row>
    <row r="150" spans="65:77" ht="30" x14ac:dyDescent="0.25">
      <c r="BT150" s="206" t="s">
        <v>109</v>
      </c>
      <c r="BU150" s="206"/>
      <c r="BV150" s="206"/>
      <c r="BW150" s="206"/>
      <c r="BX150" s="207"/>
    </row>
    <row r="151" spans="65:77" x14ac:dyDescent="0.25">
      <c r="BT151" s="208"/>
      <c r="BU151" s="208"/>
      <c r="BV151" s="208"/>
      <c r="BW151" s="208"/>
      <c r="BX151" s="207"/>
    </row>
    <row r="152" spans="65:77" x14ac:dyDescent="0.25">
      <c r="BT152" s="208"/>
      <c r="BU152" s="208"/>
      <c r="BV152" s="208"/>
      <c r="BW152" s="208"/>
      <c r="BX152" s="207"/>
    </row>
  </sheetData>
  <sheetProtection algorithmName="SHA-512" hashValue="vmxXtywLdcPOLgr63qFa1lQcDRFV1PXRN+FVmLKL/h9mEDj9L3cZ/eQp9nd04fYPvT14stoDWbGjC1eyCEHX/g==" saltValue="AyeRUNNhBmawZo5H0WmB2A==" spinCount="100000" sheet="1" selectLockedCells="1" selectUnlockedCells="1"/>
  <conditionalFormatting sqref="B52">
    <cfRule type="expression" dxfId="1" priority="2">
      <formula>$B$52&lt;&gt;""</formula>
    </cfRule>
  </conditionalFormatting>
  <conditionalFormatting sqref="P31">
    <cfRule type="expression" dxfId="0" priority="1">
      <formula>$B$52&lt;&gt;""</formula>
    </cfRule>
  </conditionalFormatting>
  <dataValidations disablePrompts="1" count="1">
    <dataValidation type="list" allowBlank="1" showInputMessage="1" showErrorMessage="1" sqref="BT150" xr:uid="{00000000-0002-0000-0200-000000000000}">
      <formula1>Location</formula1>
    </dataValidation>
  </dataValidations>
  <pageMargins left="0.75" right="0.75" top="1" bottom="1" header="0.5" footer="0.5"/>
  <pageSetup paperSize="9" orientation="portrait" horizontalDpi="300" verticalDpi="30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74"/>
  <sheetViews>
    <sheetView showGridLines="0" workbookViewId="0">
      <selection activeCell="D4" sqref="D4"/>
    </sheetView>
  </sheetViews>
  <sheetFormatPr defaultColWidth="9.140625" defaultRowHeight="15" x14ac:dyDescent="0.25"/>
  <cols>
    <col min="1" max="1" width="4" style="22" bestFit="1" customWidth="1"/>
    <col min="2" max="9" width="15.5703125" style="22" customWidth="1"/>
    <col min="10" max="10" width="9.140625" style="22"/>
    <col min="11" max="11" width="9.140625" style="189"/>
    <col min="12" max="16384" width="9.140625" style="22"/>
  </cols>
  <sheetData>
    <row r="1" spans="1:20" x14ac:dyDescent="0.25">
      <c r="A1" s="22">
        <v>1</v>
      </c>
      <c r="B1" s="22" t="s">
        <v>361</v>
      </c>
      <c r="C1" s="22" t="s">
        <v>1</v>
      </c>
      <c r="D1" s="22" t="s">
        <v>110</v>
      </c>
      <c r="E1" s="22" t="s">
        <v>111</v>
      </c>
      <c r="F1" s="22" t="s">
        <v>112</v>
      </c>
      <c r="G1" s="22" t="s">
        <v>113</v>
      </c>
      <c r="H1" s="22" t="s">
        <v>114</v>
      </c>
      <c r="I1" s="22" t="str">
        <f>Setup!C6</f>
        <v>MY LANGUAGE</v>
      </c>
    </row>
    <row r="2" spans="1:20" x14ac:dyDescent="0.25">
      <c r="A2" s="22">
        <v>1</v>
      </c>
      <c r="B2" s="22">
        <v>2</v>
      </c>
      <c r="C2" s="22">
        <v>3</v>
      </c>
      <c r="D2" s="22">
        <v>4</v>
      </c>
      <c r="E2" s="22">
        <v>5</v>
      </c>
      <c r="F2" s="22">
        <v>6</v>
      </c>
      <c r="G2" s="22">
        <v>7</v>
      </c>
      <c r="H2" s="22">
        <v>8</v>
      </c>
      <c r="I2" s="22">
        <v>9</v>
      </c>
    </row>
    <row r="3" spans="1:20" x14ac:dyDescent="0.25">
      <c r="A3" s="22">
        <v>2</v>
      </c>
      <c r="B3" s="189" t="str">
        <f>Setup!B8</f>
        <v>Argentina</v>
      </c>
      <c r="C3" s="22" t="s">
        <v>9</v>
      </c>
      <c r="D3" s="189" t="s">
        <v>483</v>
      </c>
      <c r="E3" s="189" t="s">
        <v>493</v>
      </c>
      <c r="F3" s="189" t="s">
        <v>9</v>
      </c>
      <c r="G3" s="189" t="s">
        <v>9</v>
      </c>
      <c r="H3" s="22" t="s">
        <v>9</v>
      </c>
      <c r="I3" s="189" t="str">
        <f>IF(Setup!C8&lt;&gt;"",Setup!C8,Setup!B8)</f>
        <v>Argentina</v>
      </c>
      <c r="K3" s="22"/>
    </row>
    <row r="4" spans="1:20" x14ac:dyDescent="0.25">
      <c r="A4" s="22">
        <v>3</v>
      </c>
      <c r="B4" s="189" t="str">
        <f>Setup!B9</f>
        <v>Peru</v>
      </c>
      <c r="C4" s="209" t="s">
        <v>431</v>
      </c>
      <c r="D4" s="21" t="s">
        <v>484</v>
      </c>
      <c r="E4" s="21" t="s">
        <v>431</v>
      </c>
      <c r="F4" s="21" t="s">
        <v>501</v>
      </c>
      <c r="G4" s="21" t="s">
        <v>431</v>
      </c>
      <c r="H4" s="21" t="s">
        <v>477</v>
      </c>
      <c r="I4" s="189" t="str">
        <f>IF(Setup!C9&lt;&gt;"",Setup!C9,Setup!B9)</f>
        <v>Peru</v>
      </c>
      <c r="K4" s="22"/>
    </row>
    <row r="5" spans="1:20" x14ac:dyDescent="0.25">
      <c r="A5" s="22">
        <v>4</v>
      </c>
      <c r="B5" s="189" t="str">
        <f>Setup!B10</f>
        <v>Chile</v>
      </c>
      <c r="C5" s="22" t="s">
        <v>432</v>
      </c>
      <c r="D5" s="189" t="s">
        <v>485</v>
      </c>
      <c r="E5" s="189" t="s">
        <v>432</v>
      </c>
      <c r="F5" s="189" t="s">
        <v>432</v>
      </c>
      <c r="G5" s="189" t="s">
        <v>432</v>
      </c>
      <c r="H5" s="22" t="s">
        <v>432</v>
      </c>
      <c r="I5" s="189" t="str">
        <f>IF(Setup!C10&lt;&gt;"",Setup!C10,Setup!B10)</f>
        <v>Chile</v>
      </c>
      <c r="K5" s="22"/>
    </row>
    <row r="6" spans="1:20" x14ac:dyDescent="0.25">
      <c r="A6" s="22">
        <v>5</v>
      </c>
      <c r="B6" s="189" t="str">
        <f>Setup!B11</f>
        <v>Canada</v>
      </c>
      <c r="C6" s="22" t="s">
        <v>475</v>
      </c>
      <c r="D6" s="189" t="s">
        <v>475</v>
      </c>
      <c r="E6" s="189" t="s">
        <v>494</v>
      </c>
      <c r="F6" s="189" t="s">
        <v>475</v>
      </c>
      <c r="G6" s="189" t="s">
        <v>478</v>
      </c>
      <c r="H6" s="22" t="s">
        <v>478</v>
      </c>
      <c r="I6" s="189" t="str">
        <f>IF(Setup!C11&lt;&gt;"",Setup!C11,Setup!B11)</f>
        <v>Canada</v>
      </c>
      <c r="K6" s="22"/>
    </row>
    <row r="7" spans="1:20" x14ac:dyDescent="0.25">
      <c r="A7" s="22">
        <v>6</v>
      </c>
      <c r="B7" s="189" t="str">
        <f>Setup!B12</f>
        <v>Mexico</v>
      </c>
      <c r="C7" s="22" t="s">
        <v>10</v>
      </c>
      <c r="D7" s="189" t="s">
        <v>486</v>
      </c>
      <c r="E7" s="189" t="s">
        <v>495</v>
      </c>
      <c r="F7" s="189" t="s">
        <v>502</v>
      </c>
      <c r="G7" s="189" t="s">
        <v>479</v>
      </c>
      <c r="H7" s="22" t="s">
        <v>479</v>
      </c>
      <c r="I7" s="189" t="str">
        <f>IF(Setup!C12&lt;&gt;"",Setup!C12,Setup!B12)</f>
        <v>Mexico</v>
      </c>
      <c r="K7" s="22"/>
      <c r="T7" s="210"/>
    </row>
    <row r="8" spans="1:20" x14ac:dyDescent="0.25">
      <c r="A8" s="22">
        <v>7</v>
      </c>
      <c r="B8" s="189" t="str">
        <f>Setup!B13</f>
        <v>Ecuador</v>
      </c>
      <c r="C8" s="22" t="s">
        <v>7</v>
      </c>
      <c r="D8" s="189" t="s">
        <v>487</v>
      </c>
      <c r="E8" s="189" t="s">
        <v>7</v>
      </c>
      <c r="F8" s="189" t="s">
        <v>7</v>
      </c>
      <c r="G8" s="189" t="s">
        <v>506</v>
      </c>
      <c r="H8" s="22" t="s">
        <v>7</v>
      </c>
      <c r="I8" s="189" t="str">
        <f>IF(Setup!C13&lt;&gt;"",Setup!C13,Setup!B13)</f>
        <v>Ecuador</v>
      </c>
      <c r="K8" s="22"/>
    </row>
    <row r="9" spans="1:20" x14ac:dyDescent="0.25">
      <c r="A9" s="22">
        <v>8</v>
      </c>
      <c r="B9" s="189" t="str">
        <f>Setup!B14</f>
        <v>Venezuela</v>
      </c>
      <c r="C9" s="22" t="s">
        <v>433</v>
      </c>
      <c r="D9" s="189" t="s">
        <v>433</v>
      </c>
      <c r="E9" s="189" t="s">
        <v>433</v>
      </c>
      <c r="F9" s="189" t="s">
        <v>433</v>
      </c>
      <c r="G9" s="189" t="s">
        <v>433</v>
      </c>
      <c r="H9" s="22" t="s">
        <v>433</v>
      </c>
      <c r="I9" s="189" t="str">
        <f>IF(Setup!C14&lt;&gt;"",Setup!C14,Setup!B14)</f>
        <v>Venezuela</v>
      </c>
      <c r="K9" s="22"/>
      <c r="T9" s="210"/>
    </row>
    <row r="10" spans="1:20" x14ac:dyDescent="0.25">
      <c r="A10" s="22">
        <v>9</v>
      </c>
      <c r="B10" s="189" t="str">
        <f>Setup!B15</f>
        <v>Jamaica</v>
      </c>
      <c r="C10" s="22" t="s">
        <v>434</v>
      </c>
      <c r="D10" s="189" t="s">
        <v>488</v>
      </c>
      <c r="E10" s="189" t="s">
        <v>496</v>
      </c>
      <c r="F10" s="189" t="s">
        <v>503</v>
      </c>
      <c r="G10" s="189" t="s">
        <v>434</v>
      </c>
      <c r="H10" s="22" t="s">
        <v>434</v>
      </c>
      <c r="I10" s="189" t="str">
        <f>IF(Setup!C15&lt;&gt;"",Setup!C15,Setup!B15)</f>
        <v>Jamaica</v>
      </c>
      <c r="K10" s="22"/>
    </row>
    <row r="11" spans="1:20" x14ac:dyDescent="0.25">
      <c r="A11" s="22">
        <v>10</v>
      </c>
      <c r="B11" s="189" t="str">
        <f>Setup!B16</f>
        <v>United States</v>
      </c>
      <c r="C11" s="189" t="s">
        <v>8</v>
      </c>
      <c r="D11" s="189" t="s">
        <v>489</v>
      </c>
      <c r="E11" s="189" t="s">
        <v>497</v>
      </c>
      <c r="F11" s="189" t="s">
        <v>504</v>
      </c>
      <c r="G11" s="189" t="s">
        <v>507</v>
      </c>
      <c r="H11" s="189" t="s">
        <v>480</v>
      </c>
      <c r="I11" s="189" t="str">
        <f>IF(Setup!C16&lt;&gt;"",Setup!C16,Setup!B16)</f>
        <v>United States</v>
      </c>
      <c r="K11" s="22"/>
      <c r="T11" s="210"/>
    </row>
    <row r="12" spans="1:20" x14ac:dyDescent="0.25">
      <c r="A12" s="22">
        <v>11</v>
      </c>
      <c r="B12" s="189" t="str">
        <f>Setup!B17</f>
        <v>Uruguay</v>
      </c>
      <c r="C12" s="22" t="s">
        <v>12</v>
      </c>
      <c r="D12" s="189" t="s">
        <v>12</v>
      </c>
      <c r="E12" s="189" t="s">
        <v>12</v>
      </c>
      <c r="F12" s="189" t="s">
        <v>12</v>
      </c>
      <c r="G12" s="189" t="s">
        <v>508</v>
      </c>
      <c r="H12" s="22" t="s">
        <v>12</v>
      </c>
      <c r="I12" s="189" t="str">
        <f>IF(Setup!C17&lt;&gt;"",Setup!C17,Setup!B17)</f>
        <v>Uruguay</v>
      </c>
      <c r="K12" s="22"/>
      <c r="T12" s="210"/>
    </row>
    <row r="13" spans="1:20" x14ac:dyDescent="0.25">
      <c r="A13" s="22">
        <v>12</v>
      </c>
      <c r="B13" s="189" t="str">
        <f>Setup!B18</f>
        <v>Panama</v>
      </c>
      <c r="C13" s="22" t="s">
        <v>435</v>
      </c>
      <c r="D13" s="189" t="s">
        <v>435</v>
      </c>
      <c r="E13" s="189" t="s">
        <v>435</v>
      </c>
      <c r="F13" s="189" t="s">
        <v>435</v>
      </c>
      <c r="G13" s="189" t="s">
        <v>481</v>
      </c>
      <c r="H13" s="22" t="s">
        <v>481</v>
      </c>
      <c r="I13" s="189" t="str">
        <f>IF(Setup!C18&lt;&gt;"",Setup!C18,Setup!B18)</f>
        <v>Panama</v>
      </c>
      <c r="K13" s="22"/>
    </row>
    <row r="14" spans="1:20" x14ac:dyDescent="0.25">
      <c r="A14" s="22">
        <v>13</v>
      </c>
      <c r="B14" s="189" t="str">
        <f>Setup!B19</f>
        <v>Bolivia</v>
      </c>
      <c r="C14" s="22" t="s">
        <v>436</v>
      </c>
      <c r="D14" s="189" t="s">
        <v>490</v>
      </c>
      <c r="E14" s="189" t="s">
        <v>498</v>
      </c>
      <c r="F14" s="189" t="s">
        <v>436</v>
      </c>
      <c r="G14" s="189" t="s">
        <v>509</v>
      </c>
      <c r="H14" s="22" t="s">
        <v>436</v>
      </c>
      <c r="I14" s="189" t="str">
        <f>IF(Setup!C19&lt;&gt;"",Setup!C19,Setup!B19)</f>
        <v>Bolivia</v>
      </c>
      <c r="K14" s="22"/>
      <c r="T14" s="210"/>
    </row>
    <row r="15" spans="1:20" x14ac:dyDescent="0.25">
      <c r="A15" s="22">
        <v>14</v>
      </c>
      <c r="B15" s="189" t="str">
        <f>Setup!B20</f>
        <v>Brazil</v>
      </c>
      <c r="C15" s="22" t="s">
        <v>11</v>
      </c>
      <c r="D15" s="189" t="s">
        <v>491</v>
      </c>
      <c r="E15" s="189" t="s">
        <v>499</v>
      </c>
      <c r="F15" s="189" t="s">
        <v>505</v>
      </c>
      <c r="G15" s="189" t="s">
        <v>482</v>
      </c>
      <c r="H15" s="22" t="s">
        <v>482</v>
      </c>
      <c r="I15" s="189" t="str">
        <f>IF(Setup!C20&lt;&gt;"",Setup!C20,Setup!B20)</f>
        <v>Brazil</v>
      </c>
      <c r="K15" s="22"/>
      <c r="T15" s="210"/>
    </row>
    <row r="16" spans="1:20" x14ac:dyDescent="0.25">
      <c r="A16" s="22">
        <v>15</v>
      </c>
      <c r="B16" s="189" t="str">
        <f>Setup!B21</f>
        <v>Colombia</v>
      </c>
      <c r="C16" s="189" t="s">
        <v>437</v>
      </c>
      <c r="D16" s="189" t="s">
        <v>492</v>
      </c>
      <c r="E16" s="189" t="s">
        <v>500</v>
      </c>
      <c r="F16" s="189" t="s">
        <v>437</v>
      </c>
      <c r="G16" s="189" t="s">
        <v>510</v>
      </c>
      <c r="H16" s="189" t="s">
        <v>437</v>
      </c>
      <c r="I16" s="189" t="str">
        <f>IF(Setup!C21&lt;&gt;"",Setup!C21,Setup!B21)</f>
        <v>Colombia</v>
      </c>
      <c r="K16" s="22"/>
      <c r="T16" s="210"/>
    </row>
    <row r="17" spans="1:20" x14ac:dyDescent="0.25">
      <c r="A17" s="22">
        <v>16</v>
      </c>
      <c r="B17" s="189" t="str">
        <f>Setup!B22</f>
        <v>Paraguay</v>
      </c>
      <c r="C17" s="22" t="s">
        <v>438</v>
      </c>
      <c r="D17" s="189" t="s">
        <v>438</v>
      </c>
      <c r="E17" s="189" t="s">
        <v>438</v>
      </c>
      <c r="F17" s="189" t="s">
        <v>438</v>
      </c>
      <c r="G17" s="189" t="s">
        <v>511</v>
      </c>
      <c r="H17" s="22" t="s">
        <v>438</v>
      </c>
      <c r="I17" s="189" t="str">
        <f>IF(Setup!C22&lt;&gt;"",Setup!C22,Setup!B22)</f>
        <v>Paraguay</v>
      </c>
      <c r="K17" s="22"/>
      <c r="T17" s="210"/>
    </row>
    <row r="18" spans="1:20" x14ac:dyDescent="0.25">
      <c r="A18" s="22">
        <v>17</v>
      </c>
      <c r="B18" s="189" t="str">
        <f>Setup!B23</f>
        <v>Costa Rica</v>
      </c>
      <c r="C18" s="22" t="s">
        <v>476</v>
      </c>
      <c r="D18" s="189" t="s">
        <v>476</v>
      </c>
      <c r="E18" s="189" t="s">
        <v>476</v>
      </c>
      <c r="F18" s="189" t="s">
        <v>476</v>
      </c>
      <c r="G18" s="189" t="s">
        <v>476</v>
      </c>
      <c r="H18" s="22" t="s">
        <v>476</v>
      </c>
      <c r="I18" s="189" t="str">
        <f>IF(Setup!C23&lt;&gt;"",Setup!C23,Setup!B23)</f>
        <v>Costa Rica</v>
      </c>
      <c r="K18" s="22"/>
    </row>
    <row r="19" spans="1:20" x14ac:dyDescent="0.25">
      <c r="A19" s="22">
        <v>34</v>
      </c>
      <c r="B19" s="189" t="str">
        <f>Setup!B24</f>
        <v>Language</v>
      </c>
      <c r="C19" s="22" t="s">
        <v>13</v>
      </c>
      <c r="D19" s="189" t="s">
        <v>115</v>
      </c>
      <c r="E19" s="189" t="s">
        <v>116</v>
      </c>
      <c r="F19" s="189" t="s">
        <v>117</v>
      </c>
      <c r="G19" s="189" t="s">
        <v>118</v>
      </c>
      <c r="H19" s="22" t="s">
        <v>118</v>
      </c>
      <c r="I19" s="189" t="str">
        <f>IF(Setup!C24&lt;&gt;"",Setup!C24,Setup!B24)</f>
        <v>Language</v>
      </c>
    </row>
    <row r="20" spans="1:20" x14ac:dyDescent="0.25">
      <c r="A20" s="22">
        <v>35</v>
      </c>
      <c r="B20" s="189" t="str">
        <f>Setup!B25</f>
        <v>Timezone</v>
      </c>
      <c r="C20" s="22" t="s">
        <v>14</v>
      </c>
      <c r="D20" s="189" t="s">
        <v>119</v>
      </c>
      <c r="E20" s="189" t="s">
        <v>120</v>
      </c>
      <c r="F20" s="189" t="s">
        <v>121</v>
      </c>
      <c r="G20" s="189" t="s">
        <v>122</v>
      </c>
      <c r="H20" s="22" t="s">
        <v>123</v>
      </c>
      <c r="I20" s="189" t="str">
        <f>IF(Setup!C25&lt;&gt;"",Setup!C25,Setup!B25)</f>
        <v>Timezone</v>
      </c>
    </row>
    <row r="21" spans="1:20" x14ac:dyDescent="0.25">
      <c r="A21" s="22">
        <v>36</v>
      </c>
      <c r="B21" s="189" t="str">
        <f>Setup!B26</f>
        <v>Group Stages</v>
      </c>
      <c r="C21" s="22" t="s">
        <v>15</v>
      </c>
      <c r="D21" s="189" t="s">
        <v>124</v>
      </c>
      <c r="E21" s="189" t="s">
        <v>125</v>
      </c>
      <c r="F21" s="189" t="s">
        <v>126</v>
      </c>
      <c r="G21" s="189" t="s">
        <v>127</v>
      </c>
      <c r="H21" s="22" t="s">
        <v>128</v>
      </c>
      <c r="I21" s="189" t="str">
        <f>IF(Setup!C26&lt;&gt;"",Setup!C26,Setup!B26)</f>
        <v>Group Stages</v>
      </c>
    </row>
    <row r="22" spans="1:20" x14ac:dyDescent="0.25">
      <c r="A22" s="22">
        <v>37</v>
      </c>
      <c r="B22" s="189" t="str">
        <f>Setup!B27</f>
        <v>Matches</v>
      </c>
      <c r="C22" s="22" t="s">
        <v>16</v>
      </c>
      <c r="D22" s="189" t="s">
        <v>129</v>
      </c>
      <c r="E22" s="189" t="s">
        <v>130</v>
      </c>
      <c r="F22" s="189" t="s">
        <v>131</v>
      </c>
      <c r="G22" s="189" t="s">
        <v>132</v>
      </c>
      <c r="H22" s="189" t="s">
        <v>133</v>
      </c>
      <c r="I22" s="189" t="str">
        <f>IF(Setup!C27&lt;&gt;"",Setup!C27,Setup!B27)</f>
        <v>Matches</v>
      </c>
    </row>
    <row r="23" spans="1:20" x14ac:dyDescent="0.25">
      <c r="A23" s="22">
        <v>38</v>
      </c>
      <c r="B23" s="189" t="str">
        <f>Setup!B28</f>
        <v>Standings</v>
      </c>
      <c r="C23" s="22" t="s">
        <v>17</v>
      </c>
      <c r="D23" s="189" t="s">
        <v>134</v>
      </c>
      <c r="E23" s="189" t="s">
        <v>135</v>
      </c>
      <c r="F23" s="189" t="s">
        <v>136</v>
      </c>
      <c r="G23" s="189" t="s">
        <v>137</v>
      </c>
      <c r="H23" s="22" t="s">
        <v>138</v>
      </c>
      <c r="I23" s="189" t="str">
        <f>IF(Setup!C28&lt;&gt;"",Setup!C28,Setup!B28)</f>
        <v>Standings</v>
      </c>
    </row>
    <row r="24" spans="1:20" x14ac:dyDescent="0.25">
      <c r="A24" s="22">
        <v>39</v>
      </c>
      <c r="B24" s="189" t="str">
        <f>Setup!B29</f>
        <v>Group</v>
      </c>
      <c r="C24" s="22" t="s">
        <v>18</v>
      </c>
      <c r="D24" s="189" t="s">
        <v>139</v>
      </c>
      <c r="E24" s="189" t="s">
        <v>140</v>
      </c>
      <c r="F24" s="189" t="s">
        <v>141</v>
      </c>
      <c r="G24" s="189" t="s">
        <v>142</v>
      </c>
      <c r="H24" s="22" t="s">
        <v>142</v>
      </c>
      <c r="I24" s="189" t="str">
        <f>IF(Setup!C29&lt;&gt;"",Setup!C29,Setup!B29)</f>
        <v>Group</v>
      </c>
    </row>
    <row r="25" spans="1:20" x14ac:dyDescent="0.25">
      <c r="A25" s="22">
        <v>40</v>
      </c>
      <c r="B25" s="189" t="str">
        <f>Setup!B30</f>
        <v>Date</v>
      </c>
      <c r="C25" s="22" t="s">
        <v>19</v>
      </c>
      <c r="D25" s="189" t="s">
        <v>19</v>
      </c>
      <c r="E25" s="189" t="s">
        <v>143</v>
      </c>
      <c r="F25" s="189" t="s">
        <v>144</v>
      </c>
      <c r="G25" s="189" t="s">
        <v>144</v>
      </c>
      <c r="H25" s="22" t="s">
        <v>145</v>
      </c>
      <c r="I25" s="189" t="str">
        <f>IF(Setup!C30&lt;&gt;"",Setup!C30,Setup!B30)</f>
        <v>Date</v>
      </c>
    </row>
    <row r="26" spans="1:20" x14ac:dyDescent="0.25">
      <c r="A26" s="22">
        <v>41</v>
      </c>
      <c r="B26" s="189" t="str">
        <f>Setup!B31</f>
        <v>Country</v>
      </c>
      <c r="C26" s="22" t="s">
        <v>20</v>
      </c>
      <c r="D26" s="189" t="s">
        <v>146</v>
      </c>
      <c r="E26" s="189" t="s">
        <v>147</v>
      </c>
      <c r="F26" s="189" t="s">
        <v>148</v>
      </c>
      <c r="G26" s="189" t="s">
        <v>149</v>
      </c>
      <c r="H26" s="22" t="s">
        <v>149</v>
      </c>
      <c r="I26" s="189" t="str">
        <f>IF(Setup!C31&lt;&gt;"",Setup!C31,Setup!B31)</f>
        <v>Country</v>
      </c>
    </row>
    <row r="27" spans="1:20" x14ac:dyDescent="0.25">
      <c r="A27" s="22">
        <v>42</v>
      </c>
      <c r="B27" s="189" t="str">
        <f>Setup!B32</f>
        <v>Score</v>
      </c>
      <c r="C27" s="22" t="s">
        <v>21</v>
      </c>
      <c r="D27" s="189" t="s">
        <v>21</v>
      </c>
      <c r="E27" s="189" t="s">
        <v>150</v>
      </c>
      <c r="F27" s="189" t="s">
        <v>151</v>
      </c>
      <c r="G27" s="189" t="s">
        <v>152</v>
      </c>
      <c r="H27" s="22" t="s">
        <v>152</v>
      </c>
      <c r="I27" s="189" t="str">
        <f>IF(Setup!C32&lt;&gt;"",Setup!C32,Setup!B32)</f>
        <v>Score</v>
      </c>
    </row>
    <row r="28" spans="1:20" x14ac:dyDescent="0.25">
      <c r="A28" s="22">
        <v>43</v>
      </c>
      <c r="B28" s="189" t="str">
        <f>Setup!B33</f>
        <v>Time</v>
      </c>
      <c r="C28" s="22" t="s">
        <v>22</v>
      </c>
      <c r="D28" s="189" t="s">
        <v>153</v>
      </c>
      <c r="E28" s="189" t="s">
        <v>154</v>
      </c>
      <c r="F28" s="189" t="s">
        <v>155</v>
      </c>
      <c r="G28" s="189" t="s">
        <v>156</v>
      </c>
      <c r="H28" s="22" t="s">
        <v>157</v>
      </c>
      <c r="I28" s="189" t="str">
        <f>IF(Setup!C33&lt;&gt;"",Setup!C33,Setup!B33)</f>
        <v>Time</v>
      </c>
    </row>
    <row r="29" spans="1:20" x14ac:dyDescent="0.25">
      <c r="A29" s="22">
        <v>45</v>
      </c>
      <c r="B29" s="189" t="str">
        <f>Setup!B34</f>
        <v>Quarter Finals</v>
      </c>
      <c r="C29" s="22" t="s">
        <v>23</v>
      </c>
      <c r="D29" s="189" t="s">
        <v>158</v>
      </c>
      <c r="E29" s="189" t="s">
        <v>159</v>
      </c>
      <c r="F29" s="189" t="s">
        <v>160</v>
      </c>
      <c r="G29" s="189" t="s">
        <v>161</v>
      </c>
      <c r="H29" s="22" t="s">
        <v>162</v>
      </c>
      <c r="I29" s="189" t="str">
        <f>IF(Setup!C34&lt;&gt;"",Setup!C34,Setup!B34)</f>
        <v>Quarter Finals</v>
      </c>
    </row>
    <row r="30" spans="1:20" x14ac:dyDescent="0.25">
      <c r="A30" s="22">
        <v>46</v>
      </c>
      <c r="B30" s="189" t="str">
        <f>Setup!B35</f>
        <v>Semi Finals</v>
      </c>
      <c r="C30" s="22" t="s">
        <v>24</v>
      </c>
      <c r="D30" s="189" t="s">
        <v>163</v>
      </c>
      <c r="E30" s="189" t="s">
        <v>164</v>
      </c>
      <c r="F30" s="189" t="s">
        <v>165</v>
      </c>
      <c r="G30" s="189" t="s">
        <v>166</v>
      </c>
      <c r="H30" s="22" t="s">
        <v>167</v>
      </c>
      <c r="I30" s="189" t="str">
        <f>IF(Setup!C35&lt;&gt;"",Setup!C35,Setup!B35)</f>
        <v>Semi Finals</v>
      </c>
    </row>
    <row r="31" spans="1:20" x14ac:dyDescent="0.25">
      <c r="A31" s="22">
        <v>47</v>
      </c>
      <c r="B31" s="189" t="str">
        <f>Setup!B36</f>
        <v>Third Place</v>
      </c>
      <c r="C31" s="22" t="s">
        <v>25</v>
      </c>
      <c r="D31" s="189"/>
      <c r="E31" s="189"/>
      <c r="F31" s="189"/>
      <c r="G31" s="189"/>
      <c r="I31" s="189" t="str">
        <f>IF(Setup!C36&lt;&gt;"",Setup!C36,Setup!B36)</f>
        <v>Third Place</v>
      </c>
    </row>
    <row r="32" spans="1:20" x14ac:dyDescent="0.25">
      <c r="A32" s="22">
        <v>48</v>
      </c>
      <c r="B32" s="189" t="str">
        <f>Setup!B37</f>
        <v>Final</v>
      </c>
      <c r="C32" s="22" t="s">
        <v>26</v>
      </c>
      <c r="D32" s="189" t="s">
        <v>168</v>
      </c>
      <c r="E32" s="189" t="s">
        <v>168</v>
      </c>
      <c r="F32" s="189" t="s">
        <v>168</v>
      </c>
      <c r="G32" s="189" t="s">
        <v>26</v>
      </c>
      <c r="H32" s="22" t="s">
        <v>26</v>
      </c>
      <c r="I32" s="189" t="str">
        <f>IF(Setup!C37&lt;&gt;"",Setup!C37,Setup!B37)</f>
        <v>Final</v>
      </c>
    </row>
    <row r="33" spans="1:9" x14ac:dyDescent="0.25">
      <c r="A33" s="22">
        <v>49</v>
      </c>
      <c r="B33" s="189" t="str">
        <f>Setup!B38</f>
        <v>Winner</v>
      </c>
      <c r="C33" s="22" t="s">
        <v>27</v>
      </c>
      <c r="D33" s="189" t="s">
        <v>169</v>
      </c>
      <c r="E33" s="189" t="s">
        <v>170</v>
      </c>
      <c r="F33" s="189" t="s">
        <v>171</v>
      </c>
      <c r="G33" s="189" t="s">
        <v>172</v>
      </c>
      <c r="H33" s="22" t="s">
        <v>173</v>
      </c>
      <c r="I33" s="189" t="str">
        <f>IF(Setup!C38&lt;&gt;"",Setup!C38,Setup!B38)</f>
        <v>Winner</v>
      </c>
    </row>
    <row r="34" spans="1:9" x14ac:dyDescent="0.25">
      <c r="A34" s="22">
        <v>50</v>
      </c>
      <c r="B34" s="189" t="str">
        <f>Setup!B39</f>
        <v>Runner Up</v>
      </c>
      <c r="C34" s="22" t="s">
        <v>28</v>
      </c>
      <c r="D34" s="189" t="s">
        <v>174</v>
      </c>
      <c r="E34" s="189" t="s">
        <v>175</v>
      </c>
      <c r="F34" s="189" t="s">
        <v>176</v>
      </c>
      <c r="G34" s="189" t="s">
        <v>177</v>
      </c>
      <c r="H34" s="22" t="s">
        <v>178</v>
      </c>
      <c r="I34" s="189" t="str">
        <f>IF(Setup!C39&lt;&gt;"",Setup!C39,Setup!B39)</f>
        <v>Runner Up</v>
      </c>
    </row>
    <row r="35" spans="1:9" x14ac:dyDescent="0.25">
      <c r="A35" s="22">
        <v>51</v>
      </c>
      <c r="B35" s="189" t="str">
        <f>Setup!B40</f>
        <v>Normal Time</v>
      </c>
      <c r="C35" s="22" t="s">
        <v>29</v>
      </c>
      <c r="D35" s="189" t="s">
        <v>179</v>
      </c>
      <c r="E35" s="189" t="s">
        <v>180</v>
      </c>
      <c r="F35" s="189" t="s">
        <v>181</v>
      </c>
      <c r="G35" s="189" t="s">
        <v>182</v>
      </c>
      <c r="H35" s="22" t="s">
        <v>183</v>
      </c>
      <c r="I35" s="189" t="str">
        <f>IF(Setup!C40&lt;&gt;"",Setup!C40,Setup!B40)</f>
        <v>Normal Time</v>
      </c>
    </row>
    <row r="36" spans="1:9" x14ac:dyDescent="0.25">
      <c r="A36" s="22">
        <v>52</v>
      </c>
      <c r="B36" s="189" t="s">
        <v>415</v>
      </c>
      <c r="C36" s="189" t="s">
        <v>415</v>
      </c>
      <c r="D36" s="189"/>
      <c r="E36" s="189"/>
      <c r="F36" s="189"/>
      <c r="G36" s="189"/>
      <c r="I36" s="189" t="str">
        <f>IF(Setup!C41&lt;&gt;"",Setup!C41,Setup!B41)</f>
        <v>Knock Out Rounds</v>
      </c>
    </row>
    <row r="37" spans="1:9" x14ac:dyDescent="0.25">
      <c r="A37" s="22">
        <v>53</v>
      </c>
      <c r="B37" s="189" t="str">
        <f>Setup!B42</f>
        <v>Penalty Shoot Out</v>
      </c>
      <c r="C37" s="22" t="s">
        <v>30</v>
      </c>
      <c r="D37" s="189" t="s">
        <v>184</v>
      </c>
      <c r="E37" s="189" t="s">
        <v>185</v>
      </c>
      <c r="F37" s="189" t="s">
        <v>186</v>
      </c>
      <c r="G37" s="189" t="s">
        <v>187</v>
      </c>
      <c r="H37" s="22" t="s">
        <v>188</v>
      </c>
      <c r="I37" s="189" t="str">
        <f>IF(Setup!C42&lt;&gt;"",Setup!C42,Setup!B42)</f>
        <v>Penalty Shoot Out</v>
      </c>
    </row>
    <row r="38" spans="1:9" x14ac:dyDescent="0.25">
      <c r="A38" s="22">
        <v>54</v>
      </c>
      <c r="B38" s="189" t="str">
        <f>Setup!B43</f>
        <v>Champion</v>
      </c>
      <c r="C38" s="22" t="s">
        <v>31</v>
      </c>
      <c r="D38" s="189" t="s">
        <v>31</v>
      </c>
      <c r="E38" s="189" t="s">
        <v>189</v>
      </c>
      <c r="F38" s="189" t="s">
        <v>190</v>
      </c>
      <c r="G38" s="189" t="s">
        <v>191</v>
      </c>
      <c r="H38" s="22" t="s">
        <v>192</v>
      </c>
      <c r="I38" s="189" t="str">
        <f>IF(Setup!C43&lt;&gt;"",Setup!C43,Setup!B43)</f>
        <v>Champion</v>
      </c>
    </row>
    <row r="39" spans="1:9" x14ac:dyDescent="0.25">
      <c r="A39" s="22">
        <v>55</v>
      </c>
      <c r="B39" s="189" t="str">
        <f>Setup!B44</f>
        <v>Match #</v>
      </c>
      <c r="C39" s="22" t="s">
        <v>32</v>
      </c>
      <c r="D39" s="189" t="s">
        <v>32</v>
      </c>
      <c r="E39" s="189" t="s">
        <v>193</v>
      </c>
      <c r="F39" s="189" t="s">
        <v>194</v>
      </c>
      <c r="G39" s="189" t="s">
        <v>195</v>
      </c>
      <c r="H39" s="22" t="s">
        <v>196</v>
      </c>
      <c r="I39" s="189" t="str">
        <f>IF(Setup!C44&lt;&gt;"",Setup!C44,Setup!B44)</f>
        <v>Match #</v>
      </c>
    </row>
    <row r="40" spans="1:9" x14ac:dyDescent="0.25">
      <c r="A40" s="22">
        <v>56</v>
      </c>
      <c r="B40" s="189" t="str">
        <f>Setup!B45</f>
        <v>Group A Winner</v>
      </c>
      <c r="C40" s="22" t="s">
        <v>33</v>
      </c>
      <c r="D40" s="189" t="s">
        <v>197</v>
      </c>
      <c r="E40" s="189" t="s">
        <v>198</v>
      </c>
      <c r="F40" s="189" t="s">
        <v>199</v>
      </c>
      <c r="G40" s="189" t="s">
        <v>200</v>
      </c>
      <c r="H40" s="22" t="s">
        <v>201</v>
      </c>
      <c r="I40" s="189" t="str">
        <f>IF(Setup!C45&lt;&gt;"",Setup!C45,Setup!B45)</f>
        <v>Group A Winner</v>
      </c>
    </row>
    <row r="41" spans="1:9" x14ac:dyDescent="0.25">
      <c r="A41" s="22">
        <v>57</v>
      </c>
      <c r="B41" s="189" t="str">
        <f>Setup!B46</f>
        <v>Group B Winner</v>
      </c>
      <c r="C41" s="22" t="s">
        <v>34</v>
      </c>
      <c r="D41" s="189" t="s">
        <v>202</v>
      </c>
      <c r="E41" s="189" t="s">
        <v>203</v>
      </c>
      <c r="F41" s="189" t="s">
        <v>204</v>
      </c>
      <c r="G41" s="189" t="s">
        <v>205</v>
      </c>
      <c r="H41" s="22" t="s">
        <v>206</v>
      </c>
      <c r="I41" s="189" t="str">
        <f>IF(Setup!C46&lt;&gt;"",Setup!C46,Setup!B46)</f>
        <v>Group B Winner</v>
      </c>
    </row>
    <row r="42" spans="1:9" x14ac:dyDescent="0.25">
      <c r="A42" s="22">
        <v>58</v>
      </c>
      <c r="B42" s="189" t="str">
        <f>Setup!B47</f>
        <v>Group C Winner</v>
      </c>
      <c r="C42" s="22" t="s">
        <v>35</v>
      </c>
      <c r="D42" s="189" t="s">
        <v>207</v>
      </c>
      <c r="E42" s="189" t="s">
        <v>208</v>
      </c>
      <c r="F42" s="189" t="s">
        <v>209</v>
      </c>
      <c r="G42" s="189" t="s">
        <v>210</v>
      </c>
      <c r="H42" s="22" t="s">
        <v>211</v>
      </c>
      <c r="I42" s="189" t="str">
        <f>IF(Setup!C47&lt;&gt;"",Setup!C47,Setup!B47)</f>
        <v>Group C Winner</v>
      </c>
    </row>
    <row r="43" spans="1:9" x14ac:dyDescent="0.25">
      <c r="A43" s="22">
        <v>59</v>
      </c>
      <c r="B43" s="189" t="str">
        <f>Setup!B48</f>
        <v>Group D Winner</v>
      </c>
      <c r="C43" s="22" t="s">
        <v>36</v>
      </c>
      <c r="D43" s="189" t="s">
        <v>212</v>
      </c>
      <c r="E43" s="189" t="s">
        <v>213</v>
      </c>
      <c r="F43" s="189" t="s">
        <v>214</v>
      </c>
      <c r="G43" s="189" t="s">
        <v>215</v>
      </c>
      <c r="H43" s="22" t="s">
        <v>216</v>
      </c>
      <c r="I43" s="189" t="str">
        <f>IF(Setup!C48&lt;&gt;"",Setup!C48,Setup!B48)</f>
        <v>Group D Winner</v>
      </c>
    </row>
    <row r="44" spans="1:9" x14ac:dyDescent="0.25">
      <c r="A44" s="22">
        <v>64</v>
      </c>
      <c r="B44" s="189" t="str">
        <f>Setup!B49</f>
        <v>Group A Runner Up</v>
      </c>
      <c r="C44" s="22" t="s">
        <v>37</v>
      </c>
      <c r="D44" s="189" t="s">
        <v>217</v>
      </c>
      <c r="E44" s="189" t="s">
        <v>218</v>
      </c>
      <c r="F44" s="189" t="s">
        <v>219</v>
      </c>
      <c r="G44" s="189" t="s">
        <v>220</v>
      </c>
      <c r="H44" s="22" t="s">
        <v>221</v>
      </c>
      <c r="I44" s="189" t="str">
        <f>IF(Setup!C49&lt;&gt;"",Setup!C49,Setup!B49)</f>
        <v>Group A Runner Up</v>
      </c>
    </row>
    <row r="45" spans="1:9" x14ac:dyDescent="0.25">
      <c r="A45" s="22">
        <v>65</v>
      </c>
      <c r="B45" s="189" t="str">
        <f>Setup!B50</f>
        <v>Group B Runner Up</v>
      </c>
      <c r="C45" s="22" t="s">
        <v>38</v>
      </c>
      <c r="D45" s="189" t="s">
        <v>222</v>
      </c>
      <c r="E45" s="189" t="s">
        <v>223</v>
      </c>
      <c r="F45" s="189" t="s">
        <v>224</v>
      </c>
      <c r="G45" s="189" t="s">
        <v>225</v>
      </c>
      <c r="H45" s="22" t="s">
        <v>226</v>
      </c>
      <c r="I45" s="189" t="str">
        <f>IF(Setup!C50&lt;&gt;"",Setup!C50,Setup!B50)</f>
        <v>Group B Runner Up</v>
      </c>
    </row>
    <row r="46" spans="1:9" x14ac:dyDescent="0.25">
      <c r="A46" s="22">
        <v>66</v>
      </c>
      <c r="B46" s="189" t="str">
        <f>Setup!B51</f>
        <v>Group C Runner Up</v>
      </c>
      <c r="C46" s="22" t="s">
        <v>39</v>
      </c>
      <c r="D46" s="189" t="s">
        <v>227</v>
      </c>
      <c r="E46" s="189" t="s">
        <v>228</v>
      </c>
      <c r="F46" s="189" t="s">
        <v>229</v>
      </c>
      <c r="G46" s="189" t="s">
        <v>230</v>
      </c>
      <c r="H46" s="22" t="s">
        <v>231</v>
      </c>
      <c r="I46" s="189" t="str">
        <f>IF(Setup!C51&lt;&gt;"",Setup!C51,Setup!B51)</f>
        <v>Group C Runner Up</v>
      </c>
    </row>
    <row r="47" spans="1:9" x14ac:dyDescent="0.25">
      <c r="A47" s="22">
        <v>67</v>
      </c>
      <c r="B47" s="189" t="str">
        <f>Setup!B52</f>
        <v>Group D Runner Up</v>
      </c>
      <c r="C47" s="22" t="s">
        <v>40</v>
      </c>
      <c r="D47" s="189" t="s">
        <v>232</v>
      </c>
      <c r="E47" s="189" t="s">
        <v>233</v>
      </c>
      <c r="F47" s="189" t="s">
        <v>234</v>
      </c>
      <c r="G47" s="189" t="s">
        <v>235</v>
      </c>
      <c r="H47" s="22" t="s">
        <v>236</v>
      </c>
      <c r="I47" s="189" t="str">
        <f>IF(Setup!C52&lt;&gt;"",Setup!C52,Setup!B52)</f>
        <v>Group D Runner Up</v>
      </c>
    </row>
    <row r="48" spans="1:9" x14ac:dyDescent="0.25">
      <c r="A48" s="22">
        <v>72</v>
      </c>
      <c r="B48" s="189" t="str">
        <f>Setup!B53</f>
        <v>Match 25 Winner</v>
      </c>
      <c r="C48" s="22" t="s">
        <v>439</v>
      </c>
      <c r="D48" s="189" t="s">
        <v>237</v>
      </c>
      <c r="E48" s="189" t="s">
        <v>238</v>
      </c>
      <c r="F48" s="189" t="s">
        <v>239</v>
      </c>
      <c r="G48" s="189" t="s">
        <v>240</v>
      </c>
      <c r="H48" s="22" t="s">
        <v>241</v>
      </c>
      <c r="I48" s="189" t="str">
        <f>IF(Setup!C53&lt;&gt;"",Setup!C53,Setup!B53)</f>
        <v>Match 25 Winner</v>
      </c>
    </row>
    <row r="49" spans="1:9" x14ac:dyDescent="0.25">
      <c r="A49" s="22">
        <v>73</v>
      </c>
      <c r="B49" s="189" t="str">
        <f>Setup!B54</f>
        <v>Match 26 Winner</v>
      </c>
      <c r="C49" s="22" t="s">
        <v>440</v>
      </c>
      <c r="D49" s="189" t="s">
        <v>242</v>
      </c>
      <c r="E49" s="189" t="s">
        <v>243</v>
      </c>
      <c r="F49" s="189" t="s">
        <v>244</v>
      </c>
      <c r="G49" s="189" t="s">
        <v>245</v>
      </c>
      <c r="H49" s="22" t="s">
        <v>246</v>
      </c>
      <c r="I49" s="189" t="str">
        <f>IF(Setup!C54&lt;&gt;"",Setup!C54,Setup!B54)</f>
        <v>Match 26 Winner</v>
      </c>
    </row>
    <row r="50" spans="1:9" x14ac:dyDescent="0.25">
      <c r="A50" s="22">
        <v>74</v>
      </c>
      <c r="B50" s="189" t="str">
        <f>Setup!B55</f>
        <v>Match 27 Winner</v>
      </c>
      <c r="C50" s="22" t="s">
        <v>441</v>
      </c>
      <c r="D50" s="189" t="s">
        <v>247</v>
      </c>
      <c r="E50" s="189" t="s">
        <v>248</v>
      </c>
      <c r="F50" s="189" t="s">
        <v>249</v>
      </c>
      <c r="G50" s="189" t="s">
        <v>250</v>
      </c>
      <c r="H50" s="22" t="s">
        <v>251</v>
      </c>
      <c r="I50" s="189" t="str">
        <f>IF(Setup!C55&lt;&gt;"",Setup!C55,Setup!B55)</f>
        <v>Match 27 Winner</v>
      </c>
    </row>
    <row r="51" spans="1:9" x14ac:dyDescent="0.25">
      <c r="A51" s="22">
        <v>75</v>
      </c>
      <c r="B51" s="189" t="str">
        <f>Setup!B56</f>
        <v>Match 28 Winner</v>
      </c>
      <c r="C51" s="22" t="s">
        <v>442</v>
      </c>
      <c r="D51" s="189" t="s">
        <v>252</v>
      </c>
      <c r="E51" s="189" t="s">
        <v>253</v>
      </c>
      <c r="F51" s="189" t="s">
        <v>254</v>
      </c>
      <c r="G51" s="189" t="s">
        <v>255</v>
      </c>
      <c r="H51" s="22" t="s">
        <v>256</v>
      </c>
      <c r="I51" s="189" t="str">
        <f>IF(Setup!C56&lt;&gt;"",Setup!C56,Setup!B56)</f>
        <v>Match 28 Winner</v>
      </c>
    </row>
    <row r="52" spans="1:9" x14ac:dyDescent="0.25">
      <c r="A52" s="22">
        <v>76</v>
      </c>
      <c r="B52" s="189" t="str">
        <f>Setup!B57</f>
        <v>Match 29 Winner</v>
      </c>
      <c r="C52" s="22" t="s">
        <v>443</v>
      </c>
      <c r="D52" s="189" t="s">
        <v>257</v>
      </c>
      <c r="E52" s="189" t="s">
        <v>258</v>
      </c>
      <c r="F52" s="189" t="s">
        <v>259</v>
      </c>
      <c r="G52" s="189" t="s">
        <v>260</v>
      </c>
      <c r="H52" s="22" t="s">
        <v>261</v>
      </c>
      <c r="I52" s="189" t="str">
        <f>IF(Setup!C57&lt;&gt;"",Setup!C57,Setup!B57)</f>
        <v>Match 29 Winner</v>
      </c>
    </row>
    <row r="53" spans="1:9" x14ac:dyDescent="0.25">
      <c r="A53" s="22">
        <v>77</v>
      </c>
      <c r="B53" s="189" t="str">
        <f>Setup!B58</f>
        <v>Match 30 Winner</v>
      </c>
      <c r="C53" s="22" t="s">
        <v>444</v>
      </c>
      <c r="D53" s="189" t="s">
        <v>262</v>
      </c>
      <c r="E53" s="189" t="s">
        <v>263</v>
      </c>
      <c r="F53" s="189" t="s">
        <v>264</v>
      </c>
      <c r="G53" s="189" t="s">
        <v>265</v>
      </c>
      <c r="H53" s="22" t="s">
        <v>266</v>
      </c>
      <c r="I53" s="189" t="str">
        <f>IF(Setup!C58&lt;&gt;"",Setup!C58,Setup!B58)</f>
        <v>Match 30 Winner</v>
      </c>
    </row>
    <row r="54" spans="1:9" x14ac:dyDescent="0.25">
      <c r="A54" s="22">
        <v>78</v>
      </c>
      <c r="B54" s="189" t="str">
        <f>Setup!B59</f>
        <v>Match 31 Winner</v>
      </c>
      <c r="C54" s="22" t="s">
        <v>445</v>
      </c>
      <c r="D54" s="189" t="s">
        <v>267</v>
      </c>
      <c r="E54" s="189" t="s">
        <v>268</v>
      </c>
      <c r="F54" s="189" t="s">
        <v>269</v>
      </c>
      <c r="G54" s="189" t="s">
        <v>270</v>
      </c>
      <c r="H54" s="22" t="s">
        <v>271</v>
      </c>
      <c r="I54" s="189" t="str">
        <f>IF(Setup!C59&lt;&gt;"",Setup!C59,Setup!B59)</f>
        <v>Match 31 Winner</v>
      </c>
    </row>
    <row r="55" spans="1:9" x14ac:dyDescent="0.25">
      <c r="A55" s="22">
        <v>79</v>
      </c>
      <c r="B55" s="189" t="str">
        <f>Setup!B60</f>
        <v>Match 32 Winner</v>
      </c>
      <c r="C55" s="22" t="s">
        <v>446</v>
      </c>
      <c r="D55" s="189" t="s">
        <v>272</v>
      </c>
      <c r="E55" s="189" t="s">
        <v>273</v>
      </c>
      <c r="F55" s="189" t="s">
        <v>274</v>
      </c>
      <c r="G55" s="189" t="s">
        <v>275</v>
      </c>
      <c r="H55" s="22" t="s">
        <v>276</v>
      </c>
      <c r="I55" s="189" t="str">
        <f>IF(Setup!C60&lt;&gt;"",Setup!C60,Setup!B60)</f>
        <v>Match 32 Winner</v>
      </c>
    </row>
    <row r="56" spans="1:9" x14ac:dyDescent="0.25">
      <c r="A56" s="22">
        <v>84</v>
      </c>
      <c r="B56" s="189" t="str">
        <f>Setup!B61</f>
        <v>Played</v>
      </c>
      <c r="C56" s="22" t="s">
        <v>41</v>
      </c>
      <c r="D56" s="189" t="s">
        <v>277</v>
      </c>
      <c r="E56" s="189" t="s">
        <v>130</v>
      </c>
      <c r="F56" s="189" t="s">
        <v>278</v>
      </c>
      <c r="G56" s="189" t="s">
        <v>132</v>
      </c>
      <c r="H56" s="22" t="s">
        <v>279</v>
      </c>
      <c r="I56" s="189" t="str">
        <f>IF(Setup!C61&lt;&gt;"",Setup!C61,Setup!B61)</f>
        <v>Played</v>
      </c>
    </row>
    <row r="57" spans="1:9" x14ac:dyDescent="0.25">
      <c r="A57" s="22">
        <v>85</v>
      </c>
      <c r="B57" s="189" t="str">
        <f>Setup!B62</f>
        <v>Win</v>
      </c>
      <c r="C57" s="22" t="s">
        <v>42</v>
      </c>
      <c r="D57" s="189" t="s">
        <v>280</v>
      </c>
      <c r="E57" s="189" t="s">
        <v>281</v>
      </c>
      <c r="F57" s="189" t="s">
        <v>282</v>
      </c>
      <c r="G57" s="189" t="s">
        <v>283</v>
      </c>
      <c r="H57" s="22" t="s">
        <v>284</v>
      </c>
      <c r="I57" s="189" t="str">
        <f>IF(Setup!C62&lt;&gt;"",Setup!C62,Setup!B62)</f>
        <v>Win</v>
      </c>
    </row>
    <row r="58" spans="1:9" x14ac:dyDescent="0.25">
      <c r="A58" s="22">
        <v>86</v>
      </c>
      <c r="B58" s="189" t="str">
        <f>Setup!B63</f>
        <v>Draw</v>
      </c>
      <c r="C58" s="22" t="s">
        <v>43</v>
      </c>
      <c r="D58" s="189" t="s">
        <v>285</v>
      </c>
      <c r="E58" s="189" t="s">
        <v>286</v>
      </c>
      <c r="F58" s="189" t="s">
        <v>287</v>
      </c>
      <c r="G58" s="189" t="s">
        <v>288</v>
      </c>
      <c r="H58" s="22" t="s">
        <v>289</v>
      </c>
      <c r="I58" s="189" t="str">
        <f>IF(Setup!C63&lt;&gt;"",Setup!C63,Setup!B63)</f>
        <v>Draw</v>
      </c>
    </row>
    <row r="59" spans="1:9" x14ac:dyDescent="0.25">
      <c r="A59" s="22">
        <v>87</v>
      </c>
      <c r="B59" s="189" t="str">
        <f>Setup!B64</f>
        <v>Lose</v>
      </c>
      <c r="C59" s="22" t="s">
        <v>44</v>
      </c>
      <c r="D59" s="189" t="s">
        <v>290</v>
      </c>
      <c r="E59" s="189" t="s">
        <v>291</v>
      </c>
      <c r="F59" s="189" t="s">
        <v>292</v>
      </c>
      <c r="G59" s="189" t="s">
        <v>293</v>
      </c>
      <c r="H59" s="22" t="s">
        <v>294</v>
      </c>
      <c r="I59" s="189" t="str">
        <f>IF(Setup!C64&lt;&gt;"",Setup!C64,Setup!B64)</f>
        <v>Lose</v>
      </c>
    </row>
    <row r="60" spans="1:9" x14ac:dyDescent="0.25">
      <c r="A60" s="22">
        <v>88</v>
      </c>
      <c r="B60" s="189" t="str">
        <f>Setup!B65</f>
        <v>Goal scored for</v>
      </c>
      <c r="C60" s="22" t="s">
        <v>45</v>
      </c>
      <c r="D60" s="189" t="s">
        <v>295</v>
      </c>
      <c r="E60" s="189" t="s">
        <v>296</v>
      </c>
      <c r="F60" s="189" t="s">
        <v>297</v>
      </c>
      <c r="G60" s="189" t="s">
        <v>298</v>
      </c>
      <c r="H60" s="22" t="s">
        <v>299</v>
      </c>
      <c r="I60" s="189" t="str">
        <f>IF(Setup!C65&lt;&gt;"",Setup!C65,Setup!B65)</f>
        <v>Goal scored for</v>
      </c>
    </row>
    <row r="61" spans="1:9" x14ac:dyDescent="0.25">
      <c r="A61" s="22">
        <v>89</v>
      </c>
      <c r="B61" s="189" t="str">
        <f>Setup!B66</f>
        <v>Goal scored against</v>
      </c>
      <c r="C61" s="22" t="s">
        <v>46</v>
      </c>
      <c r="D61" s="189" t="s">
        <v>300</v>
      </c>
      <c r="E61" s="189" t="s">
        <v>301</v>
      </c>
      <c r="F61" s="189" t="s">
        <v>302</v>
      </c>
      <c r="G61" s="189" t="s">
        <v>303</v>
      </c>
      <c r="H61" s="22" t="s">
        <v>304</v>
      </c>
      <c r="I61" s="189" t="str">
        <f>IF(Setup!C66&lt;&gt;"",Setup!C66,Setup!B66)</f>
        <v>Goal scored against</v>
      </c>
    </row>
    <row r="62" spans="1:9" x14ac:dyDescent="0.25">
      <c r="A62" s="22">
        <v>90</v>
      </c>
      <c r="B62" s="189" t="str">
        <f>Setup!B67</f>
        <v>Point</v>
      </c>
      <c r="C62" s="22" t="s">
        <v>47</v>
      </c>
      <c r="D62" s="189" t="s">
        <v>47</v>
      </c>
      <c r="E62" s="189" t="s">
        <v>305</v>
      </c>
      <c r="F62" s="189" t="s">
        <v>306</v>
      </c>
      <c r="G62" s="189" t="s">
        <v>307</v>
      </c>
      <c r="H62" s="22" t="s">
        <v>308</v>
      </c>
      <c r="I62" s="189" t="str">
        <f>IF(Setup!C67&lt;&gt;"",Setup!C67,Setup!B67)</f>
        <v>Point</v>
      </c>
    </row>
    <row r="63" spans="1:9" x14ac:dyDescent="0.25">
      <c r="A63" s="22">
        <v>91</v>
      </c>
      <c r="B63" s="189" t="str">
        <f>Setup!B68</f>
        <v>Second place</v>
      </c>
      <c r="C63" s="22" t="s">
        <v>48</v>
      </c>
      <c r="D63" s="189" t="s">
        <v>309</v>
      </c>
      <c r="E63" s="189" t="s">
        <v>310</v>
      </c>
      <c r="F63" s="189" t="s">
        <v>311</v>
      </c>
      <c r="G63" s="189" t="s">
        <v>312</v>
      </c>
      <c r="H63" s="22" t="s">
        <v>313</v>
      </c>
      <c r="I63" s="189" t="str">
        <f>IF(Setup!C68&lt;&gt;"",Setup!C68,Setup!B68)</f>
        <v>Second place</v>
      </c>
    </row>
    <row r="64" spans="1:9" x14ac:dyDescent="0.25">
      <c r="A64" s="22">
        <v>92</v>
      </c>
      <c r="B64" s="189" t="str">
        <f>Setup!B69</f>
        <v>Group A</v>
      </c>
      <c r="C64" s="22" t="s">
        <v>49</v>
      </c>
      <c r="D64" s="189" t="s">
        <v>314</v>
      </c>
      <c r="E64" s="189" t="s">
        <v>315</v>
      </c>
      <c r="F64" s="189" t="s">
        <v>316</v>
      </c>
      <c r="G64" s="189" t="s">
        <v>317</v>
      </c>
      <c r="H64" s="22" t="s">
        <v>317</v>
      </c>
      <c r="I64" s="189" t="str">
        <f>IF(Setup!C69&lt;&gt;"",Setup!C69,Setup!B69)</f>
        <v>Group A</v>
      </c>
    </row>
    <row r="65" spans="1:9" x14ac:dyDescent="0.25">
      <c r="A65" s="22">
        <v>93</v>
      </c>
      <c r="B65" s="189" t="str">
        <f>Setup!B70</f>
        <v>Group B</v>
      </c>
      <c r="C65" s="22" t="s">
        <v>50</v>
      </c>
      <c r="D65" s="189" t="s">
        <v>318</v>
      </c>
      <c r="E65" s="189" t="s">
        <v>319</v>
      </c>
      <c r="F65" s="189" t="s">
        <v>320</v>
      </c>
      <c r="G65" s="189" t="s">
        <v>321</v>
      </c>
      <c r="H65" s="22" t="s">
        <v>321</v>
      </c>
      <c r="I65" s="189" t="str">
        <f>IF(Setup!C70&lt;&gt;"",Setup!C70,Setup!B70)</f>
        <v>Group B</v>
      </c>
    </row>
    <row r="66" spans="1:9" x14ac:dyDescent="0.25">
      <c r="A66" s="22">
        <v>94</v>
      </c>
      <c r="B66" s="189" t="str">
        <f>Setup!B71</f>
        <v>Group C</v>
      </c>
      <c r="C66" s="22" t="s">
        <v>51</v>
      </c>
      <c r="D66" s="189" t="s">
        <v>322</v>
      </c>
      <c r="E66" s="189" t="s">
        <v>323</v>
      </c>
      <c r="F66" s="189" t="s">
        <v>324</v>
      </c>
      <c r="G66" s="189" t="s">
        <v>325</v>
      </c>
      <c r="H66" s="22" t="s">
        <v>325</v>
      </c>
      <c r="I66" s="189" t="str">
        <f>IF(Setup!C71&lt;&gt;"",Setup!C71,Setup!B71)</f>
        <v>Group C</v>
      </c>
    </row>
    <row r="67" spans="1:9" x14ac:dyDescent="0.25">
      <c r="A67" s="22">
        <v>95</v>
      </c>
      <c r="B67" s="189" t="str">
        <f>Setup!B72</f>
        <v>Group D</v>
      </c>
      <c r="C67" s="22" t="s">
        <v>52</v>
      </c>
      <c r="D67" s="189" t="s">
        <v>326</v>
      </c>
      <c r="E67" s="189" t="s">
        <v>327</v>
      </c>
      <c r="F67" s="189" t="s">
        <v>328</v>
      </c>
      <c r="G67" s="189" t="s">
        <v>329</v>
      </c>
      <c r="H67" s="22" t="s">
        <v>329</v>
      </c>
      <c r="I67" s="189" t="str">
        <f>IF(Setup!C72&lt;&gt;"",Setup!C72,Setup!B72)</f>
        <v>Group D</v>
      </c>
    </row>
    <row r="68" spans="1:9" x14ac:dyDescent="0.25">
      <c r="A68" s="22">
        <v>104</v>
      </c>
      <c r="B68" s="189" t="str">
        <f>Setup!B73</f>
        <v>Match 29 Loser</v>
      </c>
      <c r="C68" s="22" t="s">
        <v>447</v>
      </c>
      <c r="D68" s="189" t="s">
        <v>330</v>
      </c>
      <c r="E68" s="189" t="s">
        <v>331</v>
      </c>
      <c r="F68" s="189" t="s">
        <v>332</v>
      </c>
      <c r="G68" s="189" t="s">
        <v>333</v>
      </c>
      <c r="H68" s="22" t="s">
        <v>334</v>
      </c>
      <c r="I68" s="189" t="str">
        <f>IF(Setup!C73&lt;&gt;"",Setup!C73,Setup!B73)</f>
        <v>Match 29 Loser</v>
      </c>
    </row>
    <row r="69" spans="1:9" x14ac:dyDescent="0.25">
      <c r="A69" s="22">
        <v>105</v>
      </c>
      <c r="B69" s="189" t="str">
        <f>Setup!B74</f>
        <v>Match 30 Loser</v>
      </c>
      <c r="C69" s="22" t="s">
        <v>448</v>
      </c>
      <c r="D69" s="189" t="s">
        <v>335</v>
      </c>
      <c r="E69" s="189" t="s">
        <v>336</v>
      </c>
      <c r="F69" s="189" t="s">
        <v>337</v>
      </c>
      <c r="G69" s="189" t="s">
        <v>338</v>
      </c>
      <c r="H69" s="22" t="s">
        <v>339</v>
      </c>
      <c r="I69" s="189" t="str">
        <f>IF(Setup!C74&lt;&gt;"",Setup!C74,Setup!B74)</f>
        <v>Match 30 Loser</v>
      </c>
    </row>
    <row r="70" spans="1:9" x14ac:dyDescent="0.25">
      <c r="A70" s="22">
        <v>106</v>
      </c>
      <c r="B70" s="189" t="str">
        <f>Setup!B75</f>
        <v>Venue</v>
      </c>
      <c r="C70" s="22" t="s">
        <v>53</v>
      </c>
      <c r="D70" s="189" t="s">
        <v>340</v>
      </c>
      <c r="E70" s="189" t="s">
        <v>341</v>
      </c>
      <c r="F70" s="189" t="s">
        <v>342</v>
      </c>
      <c r="G70" s="189" t="s">
        <v>343</v>
      </c>
      <c r="H70" s="22" t="s">
        <v>344</v>
      </c>
      <c r="I70" s="189" t="str">
        <f>IF(Setup!C75&lt;&gt;"",Setup!C75,Setup!B75)</f>
        <v>Venue</v>
      </c>
    </row>
    <row r="71" spans="1:9" x14ac:dyDescent="0.25">
      <c r="A71" s="22">
        <v>107</v>
      </c>
      <c r="B71" s="189" t="str">
        <f>Setup!B76</f>
        <v>Copa America 2024 Fixtures</v>
      </c>
      <c r="C71" s="22" t="s">
        <v>449</v>
      </c>
      <c r="D71" s="189" t="s">
        <v>345</v>
      </c>
      <c r="E71" s="189" t="s">
        <v>346</v>
      </c>
      <c r="F71" s="189" t="s">
        <v>347</v>
      </c>
      <c r="G71" s="189" t="s">
        <v>348</v>
      </c>
      <c r="H71" s="22" t="s">
        <v>349</v>
      </c>
      <c r="I71" s="189" t="str">
        <f>IF(Setup!C76&lt;&gt;"",Setup!C76,Setup!B76)</f>
        <v>Copa America 2024 Fixtures</v>
      </c>
    </row>
    <row r="72" spans="1:9" x14ac:dyDescent="0.25">
      <c r="A72" s="22">
        <v>108</v>
      </c>
      <c r="B72" s="189" t="str">
        <f>Setup!B77</f>
        <v>Copa America 2024 Champion</v>
      </c>
      <c r="C72" s="22" t="s">
        <v>450</v>
      </c>
      <c r="D72" s="189" t="s">
        <v>350</v>
      </c>
      <c r="E72" s="189" t="s">
        <v>351</v>
      </c>
      <c r="F72" s="189" t="s">
        <v>352</v>
      </c>
      <c r="G72" s="189" t="s">
        <v>353</v>
      </c>
      <c r="H72" s="22" t="s">
        <v>354</v>
      </c>
      <c r="I72" s="189" t="str">
        <f>IF(Setup!C77&lt;&gt;"",Setup!C77,Setup!B77)</f>
        <v>Copa America 2024 Champion</v>
      </c>
    </row>
    <row r="73" spans="1:9" x14ac:dyDescent="0.25">
      <c r="A73" s="22">
        <v>109</v>
      </c>
      <c r="B73" s="189" t="str">
        <f>Setup!B78</f>
        <v>Copa America 2024 Runner Up</v>
      </c>
      <c r="C73" s="189" t="s">
        <v>451</v>
      </c>
      <c r="D73" s="189"/>
      <c r="E73" s="189"/>
      <c r="F73" s="189"/>
      <c r="G73" s="189"/>
      <c r="I73" s="189" t="str">
        <f>IF(Setup!C78&lt;&gt;"",Setup!C78,Setup!B78)</f>
        <v>Copa America 2024 Runner Up</v>
      </c>
    </row>
    <row r="74" spans="1:9" x14ac:dyDescent="0.25">
      <c r="A74" s="22">
        <v>110</v>
      </c>
      <c r="B74" s="189" t="str">
        <f>Setup!B79</f>
        <v>Copa America 2024 3rd Place</v>
      </c>
      <c r="C74" s="189" t="s">
        <v>452</v>
      </c>
      <c r="D74" s="189"/>
      <c r="E74" s="189"/>
      <c r="F74" s="189"/>
      <c r="G74" s="189"/>
      <c r="I74" s="189" t="str">
        <f>IF(Setup!C79&lt;&gt;"",Setup!C79,Setup!B79)</f>
        <v>Copa America 2024 3rd Place</v>
      </c>
    </row>
  </sheetData>
  <sheetProtection algorithmName="SHA-512" hashValue="L28aPZHuMvHj6ylW6rrUsLs3XglKJ5enE8xtDkdTROnV8SqE6x2WlrQTZ0EMjHih3KGDCCO81bQt3ov7+JMzWw==" saltValue="uW+wCjJE+BMAjmQnRizQcw==" spinCount="100000" sheet="1" selectLockedCells="1" selectUnlockedCells="1"/>
  <pageMargins left="0.75" right="0.75" top="1" bottom="1" header="0.5" footer="0.5"/>
  <pageSetup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CR14"/>
  <sheetViews>
    <sheetView showGridLines="0" workbookViewId="0">
      <pane ySplit="2" topLeftCell="A3" activePane="bottomLeft" state="frozen"/>
      <selection pane="bottomLeft" activeCell="G14" sqref="G14"/>
    </sheetView>
  </sheetViews>
  <sheetFormatPr defaultRowHeight="12.75" x14ac:dyDescent="0.2"/>
  <cols>
    <col min="1" max="1" width="1.5703125" customWidth="1"/>
  </cols>
  <sheetData>
    <row r="1" spans="2:96" s="166" customFormat="1" ht="5.0999999999999996" customHeight="1" x14ac:dyDescent="0.2"/>
    <row r="2" spans="2:96" s="2" customFormat="1" ht="36" x14ac:dyDescent="0.2">
      <c r="B2" s="19" t="s">
        <v>416</v>
      </c>
      <c r="D2" s="4"/>
      <c r="F2" s="5"/>
      <c r="G2" s="5"/>
      <c r="J2" s="5"/>
      <c r="K2" s="6"/>
      <c r="L2" s="6"/>
      <c r="M2" s="6"/>
      <c r="O2" s="7"/>
      <c r="P2" s="7"/>
      <c r="Q2" s="7"/>
      <c r="R2" s="7"/>
      <c r="S2" s="7"/>
      <c r="X2" s="8"/>
      <c r="Y2" s="71"/>
      <c r="CO2" s="12"/>
      <c r="CP2" s="12"/>
      <c r="CQ2" s="12"/>
      <c r="CR2" s="12"/>
    </row>
    <row r="12" spans="2:96" x14ac:dyDescent="0.2">
      <c r="G12" s="20" t="s">
        <v>78</v>
      </c>
    </row>
    <row r="14" spans="2:96" x14ac:dyDescent="0.2">
      <c r="G14" s="188" t="s">
        <v>516</v>
      </c>
    </row>
  </sheetData>
  <sheetProtection algorithmName="SHA-512" hashValue="JHR1XP9lP/OTpZGgeTmLxdbejcQf1WXz8X/Db7qFUcXEdm2V1dzGgFnhB9uTu5z3HPggArIlMttUa9tnl2954A==" saltValue="oVjp/+4yMCJSJcfQmKcSGw==" spinCount="100000" sheet="1" objects="1" scenarios="1"/>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CQ15"/>
  <sheetViews>
    <sheetView showGridLines="0" workbookViewId="0">
      <pane ySplit="3" topLeftCell="A4" activePane="bottomLeft" state="frozen"/>
      <selection pane="bottomLeft"/>
    </sheetView>
  </sheetViews>
  <sheetFormatPr defaultRowHeight="12.75" x14ac:dyDescent="0.2"/>
  <cols>
    <col min="1" max="1" width="1.5703125" customWidth="1"/>
    <col min="2" max="2" width="2.42578125" customWidth="1"/>
    <col min="3" max="3" width="12.140625" customWidth="1"/>
    <col min="4" max="4" width="2.140625" customWidth="1"/>
    <col min="5" max="5" width="25.5703125" customWidth="1"/>
    <col min="6" max="6" width="20.42578125" customWidth="1"/>
    <col min="7" max="7" width="12.85546875" customWidth="1"/>
    <col min="8" max="8" width="2.5703125" customWidth="1"/>
    <col min="9" max="9" width="1.5703125" customWidth="1"/>
    <col min="10" max="12" width="13.5703125" style="103" customWidth="1"/>
  </cols>
  <sheetData>
    <row r="1" spans="2:95" s="156" customFormat="1" ht="5.0999999999999996" customHeight="1" x14ac:dyDescent="0.25">
      <c r="D1" s="157"/>
      <c r="E1" s="158"/>
      <c r="F1" s="159"/>
      <c r="Q1" s="161"/>
      <c r="R1" s="161"/>
      <c r="S1" s="161"/>
      <c r="T1" s="161"/>
      <c r="U1" s="161"/>
      <c r="V1" s="161"/>
      <c r="W1" s="162"/>
      <c r="X1" s="162"/>
      <c r="CN1" s="161"/>
      <c r="CO1" s="161"/>
      <c r="CP1" s="161"/>
      <c r="CQ1" s="161"/>
    </row>
    <row r="2" spans="2:95" s="2" customFormat="1" ht="36" x14ac:dyDescent="0.25">
      <c r="B2" s="19" t="s">
        <v>417</v>
      </c>
      <c r="D2" s="4"/>
      <c r="F2" s="5"/>
      <c r="I2" s="5"/>
      <c r="J2" s="46"/>
      <c r="K2" s="46"/>
      <c r="L2" s="46"/>
      <c r="N2" s="7"/>
      <c r="O2" s="7"/>
      <c r="P2" s="7"/>
      <c r="Q2" s="7"/>
      <c r="R2" s="7"/>
      <c r="CN2" s="12"/>
      <c r="CO2" s="12"/>
      <c r="CP2" s="12"/>
      <c r="CQ2" s="12"/>
    </row>
    <row r="3" spans="2:95" ht="5.0999999999999996" customHeight="1" thickBot="1" x14ac:dyDescent="0.3">
      <c r="J3" s="46"/>
      <c r="K3" s="46"/>
      <c r="L3" s="46"/>
    </row>
    <row r="4" spans="2:95" ht="15.75" thickTop="1" x14ac:dyDescent="0.25">
      <c r="B4" s="93"/>
      <c r="C4" s="93"/>
      <c r="D4" s="93"/>
      <c r="E4" s="93"/>
      <c r="F4" s="93"/>
      <c r="G4" s="93"/>
      <c r="H4" s="94"/>
      <c r="J4" s="104"/>
      <c r="K4" s="105"/>
      <c r="L4" s="106"/>
    </row>
    <row r="5" spans="2:95" ht="28.5" x14ac:dyDescent="0.45">
      <c r="B5" s="93"/>
      <c r="C5" s="95" t="s">
        <v>428</v>
      </c>
      <c r="D5" s="93"/>
      <c r="E5" s="96"/>
      <c r="F5" s="97"/>
      <c r="G5" s="94"/>
      <c r="H5" s="98"/>
      <c r="J5" s="107"/>
      <c r="L5" s="108"/>
    </row>
    <row r="6" spans="2:95" ht="15" customHeight="1" x14ac:dyDescent="0.25">
      <c r="B6" s="93"/>
      <c r="C6" s="93"/>
      <c r="D6" s="93"/>
      <c r="E6" s="96"/>
      <c r="F6" s="96"/>
      <c r="G6" s="94"/>
      <c r="H6" s="98"/>
      <c r="J6" s="107"/>
      <c r="L6" s="108"/>
    </row>
    <row r="7" spans="2:95" ht="15" customHeight="1" x14ac:dyDescent="0.25">
      <c r="B7" s="93"/>
      <c r="C7" s="93" t="s">
        <v>418</v>
      </c>
      <c r="D7" s="93" t="s">
        <v>108</v>
      </c>
      <c r="E7" s="93" t="s">
        <v>449</v>
      </c>
      <c r="F7" s="96"/>
      <c r="G7" s="94"/>
      <c r="H7" s="98"/>
      <c r="J7" s="107"/>
      <c r="L7" s="108"/>
    </row>
    <row r="8" spans="2:95" ht="15" customHeight="1" x14ac:dyDescent="0.25">
      <c r="B8" s="93"/>
      <c r="C8" s="93" t="s">
        <v>419</v>
      </c>
      <c r="D8" s="93" t="s">
        <v>108</v>
      </c>
      <c r="E8" s="99" t="s">
        <v>514</v>
      </c>
      <c r="F8" s="96"/>
      <c r="G8" s="94"/>
      <c r="H8" s="98"/>
      <c r="J8" s="107"/>
      <c r="L8" s="108"/>
    </row>
    <row r="9" spans="2:95" ht="15" customHeight="1" x14ac:dyDescent="0.25">
      <c r="B9" s="93"/>
      <c r="C9" s="93" t="s">
        <v>420</v>
      </c>
      <c r="D9" s="93" t="s">
        <v>108</v>
      </c>
      <c r="E9" s="93" t="s">
        <v>421</v>
      </c>
      <c r="F9" s="96"/>
      <c r="G9" s="94"/>
      <c r="H9" s="98"/>
      <c r="J9" s="107"/>
      <c r="L9" s="108"/>
    </row>
    <row r="10" spans="2:95" ht="15" customHeight="1" x14ac:dyDescent="0.25">
      <c r="B10" s="93"/>
      <c r="C10" s="93" t="s">
        <v>422</v>
      </c>
      <c r="D10" s="93" t="s">
        <v>108</v>
      </c>
      <c r="E10" s="100" t="s">
        <v>423</v>
      </c>
      <c r="F10" s="96"/>
      <c r="G10" s="94"/>
      <c r="H10" s="98"/>
      <c r="J10" s="225" t="s">
        <v>512</v>
      </c>
      <c r="K10" s="226"/>
      <c r="L10" s="227"/>
    </row>
    <row r="11" spans="2:95" ht="15" customHeight="1" x14ac:dyDescent="0.25">
      <c r="B11" s="93"/>
      <c r="C11" s="93" t="s">
        <v>424</v>
      </c>
      <c r="D11" s="93" t="s">
        <v>108</v>
      </c>
      <c r="E11" s="101" t="s">
        <v>425</v>
      </c>
      <c r="F11" s="93"/>
      <c r="G11" s="93"/>
      <c r="H11" s="98"/>
      <c r="J11" s="225" t="s">
        <v>513</v>
      </c>
      <c r="K11" s="226"/>
      <c r="L11" s="227"/>
    </row>
    <row r="12" spans="2:95" ht="15" customHeight="1" x14ac:dyDescent="0.25">
      <c r="B12" s="93"/>
      <c r="C12" s="93" t="s">
        <v>426</v>
      </c>
      <c r="D12" s="93" t="s">
        <v>108</v>
      </c>
      <c r="E12" s="102" t="s">
        <v>427</v>
      </c>
      <c r="F12" s="93"/>
      <c r="G12" s="93"/>
      <c r="H12" s="98"/>
      <c r="J12" s="109"/>
      <c r="K12" s="228" t="s">
        <v>515</v>
      </c>
      <c r="L12" s="110"/>
    </row>
    <row r="13" spans="2:95" ht="15" customHeight="1" thickBot="1" x14ac:dyDescent="0.3">
      <c r="B13" s="93"/>
      <c r="C13" s="93"/>
      <c r="D13" s="93"/>
      <c r="E13" s="93"/>
      <c r="F13" s="93"/>
      <c r="G13" s="94"/>
      <c r="H13" s="98"/>
      <c r="J13" s="111"/>
      <c r="K13" s="229"/>
      <c r="L13" s="112"/>
    </row>
    <row r="14" spans="2:95" ht="13.5" thickTop="1" x14ac:dyDescent="0.2"/>
    <row r="15" spans="2:95" ht="15.75" x14ac:dyDescent="0.25">
      <c r="B15" s="230" t="s">
        <v>430</v>
      </c>
      <c r="C15" s="230"/>
      <c r="D15" s="230"/>
      <c r="E15" s="230"/>
      <c r="F15" s="230"/>
      <c r="G15" s="230"/>
      <c r="H15" s="230"/>
    </row>
  </sheetData>
  <sheetProtection algorithmName="SHA-512" hashValue="VfMcTVRdHrM27ZHU8pf0F8TnrU5hChMjyP5wRLRNy13A6E1BKvs8QXEdFhXbixXTyYFsvPp5DZvfEGNqXOM9Lw==" saltValue="x1bvol5iN+rPO/O37bmCLQ==" spinCount="100000" sheet="1" objects="1" scenarios="1"/>
  <mergeCells count="4">
    <mergeCell ref="J11:L11"/>
    <mergeCell ref="K12:K13"/>
    <mergeCell ref="B15:H15"/>
    <mergeCell ref="J10:L10"/>
  </mergeCells>
  <hyperlinks>
    <hyperlink ref="B15:H15" r:id="rId1" display="Get more sport spreadsheets in journalSHEET.com" xr:uid="{00000000-0004-0000-0500-000000000000}"/>
  </hyperlinks>
  <pageMargins left="0.7" right="0.7" top="0.75" bottom="0.75" header="0.3" footer="0.3"/>
  <pageSetup orientation="portrait" r:id="rId2"/>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17</vt:i4>
      </vt:variant>
    </vt:vector>
  </HeadingPairs>
  <TitlesOfParts>
    <vt:vector size="23" baseType="lpstr">
      <vt:lpstr>Setup</vt:lpstr>
      <vt:lpstr>Matches</vt:lpstr>
      <vt:lpstr>Calculator</vt:lpstr>
      <vt:lpstr>Language</vt:lpstr>
      <vt:lpstr>License</vt:lpstr>
      <vt:lpstr>About</vt:lpstr>
      <vt:lpstr>Countries</vt:lpstr>
      <vt:lpstr>GroupA</vt:lpstr>
      <vt:lpstr>GroupB</vt:lpstr>
      <vt:lpstr>GroupC</vt:lpstr>
      <vt:lpstr>GroupD</vt:lpstr>
      <vt:lpstr>GroupE</vt:lpstr>
      <vt:lpstr>GroupF</vt:lpstr>
      <vt:lpstr>GroupG</vt:lpstr>
      <vt:lpstr>GroupH</vt:lpstr>
      <vt:lpstr>LanguageRef</vt:lpstr>
      <vt:lpstr>Matches!Print_Area</vt:lpstr>
      <vt:lpstr>Setup!Print_Area</vt:lpstr>
      <vt:lpstr>Team</vt:lpstr>
      <vt:lpstr>TimeZoneData</vt:lpstr>
      <vt:lpstr>TimeZoneList</vt:lpstr>
      <vt:lpstr>Translation</vt:lpstr>
      <vt:lpstr>TransRef</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journalSHEET.com</dc:creator>
  <cp:lastModifiedBy>Michael Capuccino</cp:lastModifiedBy>
  <cp:lastPrinted>2024-03-19T05:51:54Z</cp:lastPrinted>
  <dcterms:created xsi:type="dcterms:W3CDTF">2022-06-15T04:56:38Z</dcterms:created>
  <dcterms:modified xsi:type="dcterms:W3CDTF">2024-04-19T02:36:34Z</dcterms:modified>
</cp:coreProperties>
</file>