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WNER\Desktop\"/>
    </mc:Choice>
  </mc:AlternateContent>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6" windowHeight="11760" activeTab="1"/>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Team">Calculator!$BO$7:$BO$38</definedName>
    <definedName name="TimeZoneData">Setup!$C$4</definedName>
    <definedName name="TimeZoneList">Calculator!$BS$7:$BS$56</definedName>
    <definedName name="Translation">Language!$C$3:$I$74</definedName>
    <definedName name="TransRef">Language!$B$3:$B$74</definedName>
    <definedName name="_xlnm.Print_Area" localSheetId="1">Matches!$B$2:$W$44</definedName>
    <definedName name="_xlnm.Print_Area" localSheetId="0">Setup!$A$4:$F$77</definedName>
  </definedNames>
  <calcPr calcId="152511" iterateDelta="1E-4"/>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H6" i="3"/>
  <c r="J6" i="3" s="1"/>
  <c r="G13" i="3"/>
  <c r="H12" i="3"/>
  <c r="F10" i="3"/>
  <c r="E14" i="3"/>
  <c r="F9" i="3"/>
  <c r="H18" i="3"/>
  <c r="F19" i="3"/>
  <c r="G14" i="3"/>
  <c r="H13" i="3"/>
  <c r="G19" i="3"/>
  <c r="I14" i="3"/>
  <c r="J14" i="3" s="1"/>
  <c r="I4" i="3"/>
  <c r="F4" i="3"/>
  <c r="E9" i="3"/>
  <c r="G5" i="3"/>
  <c r="E19" i="3"/>
  <c r="H15" i="3"/>
  <c r="H9" i="3"/>
  <c r="J9" i="3" s="1"/>
  <c r="E12" i="3"/>
  <c r="H8" i="3"/>
  <c r="F18" i="3"/>
  <c r="K18" i="3" s="1"/>
  <c r="G4" i="3"/>
  <c r="F13" i="3"/>
  <c r="I16" i="3"/>
  <c r="G15" i="3"/>
  <c r="E8" i="3"/>
  <c r="E16" i="3"/>
  <c r="G18" i="3"/>
  <c r="E17" i="3"/>
  <c r="K17" i="3" s="1"/>
  <c r="F8" i="3"/>
  <c r="E6" i="3"/>
  <c r="G6" i="3"/>
  <c r="I19" i="3"/>
  <c r="G17" i="3"/>
  <c r="G8" i="3"/>
  <c r="K5" i="3" l="1"/>
  <c r="K12" i="3"/>
  <c r="J15" i="3"/>
  <c r="J18" i="3"/>
  <c r="J11" i="3"/>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N16" i="3" s="1"/>
  <c r="K13" i="3"/>
  <c r="D16" i="3"/>
  <c r="D8" i="3"/>
  <c r="N17" i="3" l="1"/>
  <c r="N8" i="3"/>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Q19" i="3"/>
  <c r="O5" i="3"/>
  <c r="P5" i="3" s="1"/>
  <c r="Q4" i="3"/>
  <c r="Q6" i="3"/>
  <c r="O7" i="3"/>
  <c r="P7" i="3" s="1"/>
  <c r="Q7" i="3"/>
  <c r="O4" i="3"/>
  <c r="P4" i="3" s="1"/>
  <c r="Q14" i="3"/>
  <c r="O12" i="3"/>
  <c r="P12" i="3" s="1"/>
  <c r="Q12" i="3"/>
  <c r="O15" i="3"/>
  <c r="P15" i="3" s="1"/>
  <c r="O14" i="3"/>
  <c r="P14" i="3" s="1"/>
  <c r="Q13" i="3"/>
  <c r="O13" i="3"/>
  <c r="P13" i="3" s="1"/>
  <c r="Q15" i="3"/>
  <c r="R8" i="3" l="1"/>
  <c r="R5" i="3"/>
  <c r="R10" i="3"/>
  <c r="R4" i="3"/>
  <c r="R17" i="3"/>
  <c r="R15" i="3"/>
  <c r="R16" i="3"/>
  <c r="R12" i="3"/>
  <c r="R6" i="3"/>
  <c r="R11" i="3"/>
  <c r="R19" i="3"/>
  <c r="R9" i="3"/>
  <c r="R18" i="3"/>
  <c r="R14" i="3"/>
  <c r="R7" i="3"/>
  <c r="R13" i="3"/>
  <c r="S6" i="3" l="1"/>
  <c r="S7" i="3"/>
  <c r="S19" i="3"/>
  <c r="S9" i="3"/>
  <c r="S11" i="3"/>
  <c r="S18" i="3"/>
  <c r="S17" i="3"/>
  <c r="S15" i="3"/>
  <c r="S10" i="3"/>
  <c r="S8" i="3"/>
  <c r="S16" i="3"/>
  <c r="U16" i="3" s="1"/>
  <c r="V16" i="3" s="1"/>
  <c r="S4" i="3"/>
  <c r="S5" i="3"/>
  <c r="S14" i="3"/>
  <c r="S12" i="3"/>
  <c r="S13" i="3"/>
  <c r="U12" i="3" l="1"/>
  <c r="V12" i="3" s="1"/>
  <c r="U18" i="3"/>
  <c r="V18" i="3" s="1"/>
  <c r="X17" i="3" s="1"/>
  <c r="AS17" i="3" s="1"/>
  <c r="U9" i="3"/>
  <c r="V9" i="3" s="1"/>
  <c r="U17" i="3"/>
  <c r="A17" i="3" s="1"/>
  <c r="U8" i="3"/>
  <c r="U19" i="3"/>
  <c r="A19" i="3" s="1"/>
  <c r="U10" i="3"/>
  <c r="A10" i="3" s="1"/>
  <c r="U11" i="3"/>
  <c r="V11" i="3" s="1"/>
  <c r="Y10" i="3" s="1"/>
  <c r="Y11" i="3" s="1"/>
  <c r="BA10" i="3" s="1"/>
  <c r="U6" i="3"/>
  <c r="V6" i="3" s="1"/>
  <c r="U4" i="3"/>
  <c r="A4" i="3" s="1"/>
  <c r="U5" i="3"/>
  <c r="V5" i="3" s="1"/>
  <c r="U7" i="3"/>
  <c r="A7" i="3" s="1"/>
  <c r="U13" i="3"/>
  <c r="V13" i="3" s="1"/>
  <c r="W12" i="3" s="1"/>
  <c r="W13" i="3" s="1"/>
  <c r="U14" i="3"/>
  <c r="V14" i="3" s="1"/>
  <c r="X13" i="3" s="1"/>
  <c r="X14" i="3" s="1"/>
  <c r="U15" i="3"/>
  <c r="V15" i="3" s="1"/>
  <c r="A12" i="3"/>
  <c r="A16" i="3"/>
  <c r="V19" i="3" l="1"/>
  <c r="Y18" i="3" s="1"/>
  <c r="Y19" i="3" s="1"/>
  <c r="BB18" i="3" s="1"/>
  <c r="V17" i="3"/>
  <c r="W16" i="3" s="1"/>
  <c r="W17" i="3" s="1"/>
  <c r="W18" i="3" s="1"/>
  <c r="X5" i="3"/>
  <c r="X6" i="3" s="1"/>
  <c r="A18" i="3"/>
  <c r="A9" i="3"/>
  <c r="W8" i="3"/>
  <c r="W9" i="3" s="1"/>
  <c r="A8" i="3"/>
  <c r="V8" i="3"/>
  <c r="V10" i="3"/>
  <c r="X9" i="3" s="1"/>
  <c r="A5" i="3"/>
  <c r="Y14" i="3"/>
  <c r="Y15" i="3" s="1"/>
  <c r="BA14" i="3" s="1"/>
  <c r="A13" i="3"/>
  <c r="A11" i="3"/>
  <c r="W4" i="3"/>
  <c r="W5" i="3" s="1"/>
  <c r="V4" i="3"/>
  <c r="A6" i="3"/>
  <c r="V7" i="3"/>
  <c r="Y6" i="3" s="1"/>
  <c r="A14" i="3"/>
  <c r="A15" i="3"/>
  <c r="AT17" i="3"/>
  <c r="AU17" i="3" s="1"/>
  <c r="AV17" i="3"/>
  <c r="X18" i="3"/>
  <c r="AS18" i="3" s="1"/>
  <c r="AX10" i="3"/>
  <c r="BA18" i="3"/>
  <c r="BC18" i="3" s="1"/>
  <c r="AY18" i="3"/>
  <c r="AX18" i="3"/>
  <c r="AZ18" i="3"/>
  <c r="BA11" i="3"/>
  <c r="BB11" i="3"/>
  <c r="AZ11" i="3"/>
  <c r="AY11" i="3"/>
  <c r="AX11" i="3"/>
  <c r="AY10" i="3"/>
  <c r="X15" i="3"/>
  <c r="AO14" i="3" s="1"/>
  <c r="W14" i="3"/>
  <c r="AZ10" i="3"/>
  <c r="BB10" i="3"/>
  <c r="BC10" i="3" s="1"/>
  <c r="BA19" i="3"/>
  <c r="BB19" i="3"/>
  <c r="AX19" i="3"/>
  <c r="AY19" i="3"/>
  <c r="AZ19" i="3"/>
  <c r="BB15" i="3"/>
  <c r="AX14" i="3" l="1"/>
  <c r="AX15" i="3"/>
  <c r="X7" i="3"/>
  <c r="AM6" i="3" s="1"/>
  <c r="W10" i="3"/>
  <c r="X10" i="3"/>
  <c r="X11" i="3" s="1"/>
  <c r="AO10" i="3" s="1"/>
  <c r="AY15" i="3"/>
  <c r="BA15" i="3"/>
  <c r="BC15" i="3" s="1"/>
  <c r="AZ15" i="3"/>
  <c r="BB14" i="3"/>
  <c r="BC14" i="3" s="1"/>
  <c r="AZ14" i="3"/>
  <c r="AY14" i="3"/>
  <c r="Y7" i="3"/>
  <c r="BB6" i="3" s="1"/>
  <c r="AT18" i="3"/>
  <c r="AU18" i="3" s="1"/>
  <c r="X19" i="3"/>
  <c r="AM18" i="3" s="1"/>
  <c r="AV18" i="3"/>
  <c r="BD18" i="3"/>
  <c r="BD10" i="3"/>
  <c r="AN14" i="3"/>
  <c r="AN13" i="3"/>
  <c r="AL14" i="3"/>
  <c r="AP14" i="3"/>
  <c r="AQ14" i="3" s="1"/>
  <c r="AM14" i="3"/>
  <c r="AN6" i="3"/>
  <c r="BC19" i="3"/>
  <c r="W19" i="3"/>
  <c r="AB16" i="3" s="1"/>
  <c r="BD11" i="3"/>
  <c r="BC11" i="3"/>
  <c r="W6" i="3"/>
  <c r="AN7" i="3"/>
  <c r="AN5" i="3"/>
  <c r="AP5" i="3"/>
  <c r="AM5" i="3"/>
  <c r="W11" i="3"/>
  <c r="Z8" i="3" s="1"/>
  <c r="BD19" i="3"/>
  <c r="W15" i="3"/>
  <c r="AA14" i="3" s="1"/>
  <c r="AS15" i="3"/>
  <c r="AO15" i="3"/>
  <c r="AV15" i="3"/>
  <c r="AT15" i="3"/>
  <c r="AP15" i="3"/>
  <c r="AN15" i="3"/>
  <c r="AM15" i="3"/>
  <c r="AL15" i="3"/>
  <c r="AO13" i="3"/>
  <c r="AL13" i="3"/>
  <c r="AM13" i="3"/>
  <c r="AP13" i="3"/>
  <c r="AV7" i="3" l="1"/>
  <c r="AP6" i="3"/>
  <c r="AO7" i="3"/>
  <c r="AP7" i="3"/>
  <c r="AT7" i="3"/>
  <c r="AO6" i="3"/>
  <c r="AQ6" i="3" s="1"/>
  <c r="BD14" i="3"/>
  <c r="AO5" i="3"/>
  <c r="AQ5" i="3" s="1"/>
  <c r="AL6" i="3"/>
  <c r="AR6" i="3" s="1"/>
  <c r="AM7" i="3"/>
  <c r="AL7" i="3"/>
  <c r="AS11" i="3"/>
  <c r="AL10" i="3"/>
  <c r="AP10" i="3"/>
  <c r="AQ10" i="3" s="1"/>
  <c r="AM9" i="3"/>
  <c r="AP11" i="3"/>
  <c r="AL5" i="3"/>
  <c r="AR5" i="3" s="1"/>
  <c r="AS7" i="3"/>
  <c r="AU7" i="3" s="1"/>
  <c r="BD15" i="3"/>
  <c r="AP9" i="3"/>
  <c r="AO9" i="3"/>
  <c r="AL11" i="3"/>
  <c r="AT11" i="3"/>
  <c r="AM10" i="3"/>
  <c r="AN9" i="3"/>
  <c r="AN11" i="3"/>
  <c r="AV11" i="3"/>
  <c r="AL9" i="3"/>
  <c r="AM11" i="3"/>
  <c r="AO11" i="3"/>
  <c r="AN10" i="3"/>
  <c r="BA7" i="3"/>
  <c r="AY6" i="3"/>
  <c r="AY7" i="3"/>
  <c r="AZ6" i="3"/>
  <c r="AX6" i="3"/>
  <c r="BB7" i="3"/>
  <c r="BA6" i="3"/>
  <c r="BC6" i="3" s="1"/>
  <c r="AZ7" i="3"/>
  <c r="AX7" i="3"/>
  <c r="AL17" i="3"/>
  <c r="AL18" i="3"/>
  <c r="AR18" i="3" s="1"/>
  <c r="AN19" i="3"/>
  <c r="AN18" i="3"/>
  <c r="AT19" i="3"/>
  <c r="AP17" i="3"/>
  <c r="AL19" i="3"/>
  <c r="AO19" i="3"/>
  <c r="AO18" i="3"/>
  <c r="AN17" i="3"/>
  <c r="AO17" i="3"/>
  <c r="AV19" i="3"/>
  <c r="AS19" i="3"/>
  <c r="AU19" i="3" s="1"/>
  <c r="AP18" i="3"/>
  <c r="AM17" i="3"/>
  <c r="AM19" i="3"/>
  <c r="AP19" i="3"/>
  <c r="AB10" i="3"/>
  <c r="AR14" i="3"/>
  <c r="AB8" i="3"/>
  <c r="Z16" i="3"/>
  <c r="AA18" i="3"/>
  <c r="AC17" i="3"/>
  <c r="AD17" i="3"/>
  <c r="AA12" i="3"/>
  <c r="AQ7" i="3"/>
  <c r="AC10" i="3"/>
  <c r="AC14" i="3"/>
  <c r="AQ13" i="3"/>
  <c r="AU15" i="3"/>
  <c r="Z10" i="3"/>
  <c r="AC16" i="3"/>
  <c r="Z18" i="3"/>
  <c r="AC8" i="3"/>
  <c r="AA8" i="3"/>
  <c r="AF8" i="3" s="1"/>
  <c r="AA10" i="3"/>
  <c r="AD10" i="3"/>
  <c r="AA16" i="3"/>
  <c r="AD18" i="3"/>
  <c r="AC18"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D16" i="3"/>
  <c r="AB18" i="3"/>
  <c r="AQ15" i="3"/>
  <c r="AC12" i="3"/>
  <c r="AC15" i="3"/>
  <c r="AD15" i="3"/>
  <c r="AB15" i="3"/>
  <c r="AA15" i="3"/>
  <c r="Z15" i="3"/>
  <c r="AB13" i="3"/>
  <c r="AB12" i="3"/>
  <c r="AA13" i="3"/>
  <c r="AD12" i="3"/>
  <c r="Z13" i="3"/>
  <c r="AC13" i="3"/>
  <c r="AD13" i="3"/>
  <c r="Z12" i="3"/>
  <c r="AR7" i="3" l="1"/>
  <c r="AR11" i="3"/>
  <c r="AU11" i="3"/>
  <c r="AR10" i="3"/>
  <c r="AQ11" i="3"/>
  <c r="AR9" i="3"/>
  <c r="AS9" i="3" s="1"/>
  <c r="AQ9" i="3"/>
  <c r="BC7" i="3"/>
  <c r="AS5" i="3"/>
  <c r="BD7" i="3"/>
  <c r="BD6" i="3"/>
  <c r="AR17" i="3"/>
  <c r="AQ17" i="3"/>
  <c r="AR19" i="3"/>
  <c r="AQ19" i="3"/>
  <c r="AQ18" i="3"/>
  <c r="AF10" i="3"/>
  <c r="AS6" i="3"/>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C7" i="3"/>
  <c r="AD7" i="3"/>
  <c r="AA7" i="3"/>
  <c r="Z7" i="3"/>
  <c r="AB7" i="3"/>
  <c r="Z5" i="3"/>
  <c r="AC5" i="3"/>
  <c r="AA5" i="3"/>
  <c r="AE9" i="3"/>
  <c r="AC6" i="3"/>
  <c r="AT14" i="3" l="1"/>
  <c r="AT5" i="3"/>
  <c r="AU5" i="3" s="1"/>
  <c r="AS10" i="3"/>
  <c r="AT9" i="3" s="1"/>
  <c r="AU9" i="3" s="1"/>
  <c r="AF6" i="3"/>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T10" i="3" l="1"/>
  <c r="AU10" i="3" s="1"/>
  <c r="AV10" i="3" s="1"/>
  <c r="AG7" i="3"/>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V9" i="3" l="1"/>
  <c r="AH6" i="3"/>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<sst xmlns="http://schemas.openxmlformats.org/spreadsheetml/2006/main" count="750" uniqueCount="518">
  <si>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</si>
  <si>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</si>
  <si>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</si>
  <si>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</si>
  <si>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</si>
  <si>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</si>
  <si>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</si>
  <si>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</si>
  <si>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</si>
  <si>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</si>
  <si>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</si>
  <si>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</si>
  <si>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</si>
  <si>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</si>
  <si>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</si>
  <si>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</si>
  <si>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</si>
  <si>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</si>
  <si>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</si>
  <si>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</si>
  <si>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</si>
  <si>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</si>
  <si>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</si>
  <si>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</si>
  <si>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</si>
  <si>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</si>
  <si>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</si>
  <si>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</si>
  <si>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</si>
  <si>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</si>
  <si>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</si>
  <si>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</si>
  <si>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</si>
  <si>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</si>
  <si>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</si>
  <si>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</si>
  <si>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</si>
  <si>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</si>
  <si>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</si>
  <si>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</si>
  <si>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</si>
  <si>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</si>
  <si>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</si>
  <si>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</si>
  <si>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</si>
  <si>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</si>
  <si>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</si>
  <si>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</si>
  <si>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</si>
  <si>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</si>
  <si>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</si>
  <si>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</si>
  <si>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</si>
  <si>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</si>
  <si>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</si>
  <si>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</si>
  <si>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</si>
  <si>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</si>
  <si>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</si>
  <si>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</si>
  <si>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</si>
  <si>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</si>
  <si>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</si>
  <si>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</si>
  <si>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</si>
  <si>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</si>
  <si>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</si>
  <si>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</si>
  <si>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</si>
  <si>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</si>
  <si>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</si>
  <si>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</si>
  <si>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</si>
  <si>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</si>
  <si>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</si>
  <si>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</si>
  <si>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</si>
  <si>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</si>
  <si>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</si>
  <si>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</si>
  <si>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</si>
  <si>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</si>
  <si>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</si>
  <si>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</si>
  <si>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</si>
  <si>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</si>
  <si>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</si>
  <si>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</si>
  <si>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</si>
  <si>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</si>
  <si>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</si>
  <si>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</si>
  <si>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</si>
  <si>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</si>
  <si>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</si>
  <si>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</si>
  <si>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</si>
  <si>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</si>
  <si>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</si>
  <si>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</si>
  <si>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</si>
  <si>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</si>
  <si>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</si>
  <si>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</si>
  <si>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</si>
  <si>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</si>
  <si>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</si>
  <si>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</si>
  <si>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</si>
  <si>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</si>
  <si>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</si>
  <si>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</si>
  <si>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</si>
  <si>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</si>
  <si>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</si>
  <si>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</si>
  <si>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</si>
  <si>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</si>
  <si>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</si>
  <si>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</si>
  <si>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</si>
  <si>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</si>
  <si>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</si>
  <si>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</si>
  <si>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</si>
  <si>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</si>
  <si>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</si>
  <si>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</si>
  <si>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</si>
  <si>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</si>
  <si>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</si>
  <si>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</si>
  <si>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</si>
  <si>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</si>
  <si>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</si>
  <si>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</si>
  <si>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</si>
  <si>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</si>
  <si>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</si>
  <si>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</si>
  <si>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</si>
  <si>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</si>
  <si>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</si>
  <si>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</si>
  <si>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</si>
  <si>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</si>
  <si>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</si>
  <si>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</si>
  <si>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</si>
  <si>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</si>
  <si>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</si>
  <si>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</si>
  <si>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</si>
  <si>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</si>
  <si>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</si>
  <si>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</si>
  <si>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</si>
  <si>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</si>
  <si>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</si>
  <si>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</si>
  <si>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</si>
  <si>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</si>
  <si>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</si>
  <si>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</si>
  <si>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</si>
  <si>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</si>
  <si>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</si>
  <si>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</si>
  <si>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</si>
  <si>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</si>
  <si>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</si>
  <si>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</si>
  <si>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</si>
  <si>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</si>
  <si>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</si>
  <si>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</si>
  <si>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</si>
  <si>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</si>
  <si>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</si>
  <si>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</si>
  <si>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</si>
  <si>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</si>
  <si>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</si>
  <si>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</si>
  <si>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</si>
  <si>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</si>
  <si>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</si>
  <si>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</si>
  <si>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</si>
  <si>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</si>
  <si>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</si>
  <si>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</si>
  <si>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</si>
  <si>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</si>
  <si>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</si>
  <si>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</si>
  <si>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</si>
  <si>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</si>
  <si>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</si>
  <si>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</si>
  <si>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</si>
  <si>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</si>
  <si>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</si>
  <si>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</si>
  <si>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</si>
  <si>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</si>
  <si>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</si>
  <si>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</si>
  <si>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</si>
  <si>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</si>
  <si>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</si>
  <si>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</si>
  <si>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</si>
  <si>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</si>
  <si>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</si>
  <si>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</si>
  <si>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</si>
  <si>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</si>
  <si>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</si>
  <si>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</si>
  <si>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</si>
  <si>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</si>
  <si>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</si>
  <si>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</si>
  <si>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</si>
  <si>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</si>
  <si>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</si>
  <si>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</si>
  <si>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</si>
  <si>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</si>
  <si>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</si>
  <si>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</si>
  <si>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</si>
  <si>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</si>
  <si>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</si>
  <si>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</si>
  <si>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</si>
  <si>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</si>
  <si>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</si>
  <si>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</si>
  <si>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</si>
  <si>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</si>
  <si>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</si>
  <si>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</si>
  <si>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</si>
  <si>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</si>
  <si>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</si>
  <si>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</si>
  <si>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</si>
  <si>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</si>
  <si>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</si>
  <si>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</si>
  <si>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</si>
  <si>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</si>
  <si>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</si>
  <si>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</si>
  <si>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</si>
  <si>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</si>
  <si>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</si>
  <si>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</si>
  <si>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</si>
  <si>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</si>
  <si>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</si>
  <si>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</si>
  <si>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</si>
  <si>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</si>
  <si>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</si>
  <si>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</si>
  <si>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</si>
  <si>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</si>
  <si>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</si>
  <si>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</si>
  <si>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</si>
  <si>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</si>
  <si>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</si>
  <si>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</si>
  <si>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</si>
  <si>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</si>
  <si>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</si>
  <si>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</si>
  <si>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</si>
  <si>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</si>
  <si>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</si>
  <si>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</si>
  <si>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</si>
  <si>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</si>
  <si>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</si>
  <si>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</si>
  <si>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</si>
  <si>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</si>
  <si>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</si>
  <si>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</si>
  <si>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</si>
  <si>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</si>
  <si>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</si>
  <si>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</si>
  <si>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</si>
  <si>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</si>
  <si>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</si>
  <si>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</si>
  <si>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</si>
  <si>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</si>
  <si>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</si>
  <si>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</si>
  <si>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</si>
  <si>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</si>
  <si>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</si>
  <si>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</si>
  <si>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</si>
  <si>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</si>
  <si>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</si>
  <si>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</si>
  <si>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</si>
  <si>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</si>
  <si>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</si>
  <si>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</si>
  <si>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</si>
  <si>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</si>
  <si>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</si>
  <si>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</si>
  <si>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</si>
  <si>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</si>
  <si>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</si>
  <si>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</si>
  <si>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</si>
  <si>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</si>
  <si>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</si>
  <si>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</si>
  <si>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</si>
  <si>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</si>
  <si>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</si>
  <si>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</si>
  <si>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</si>
  <si>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</si>
  <si>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</si>
  <si>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</si>
  <si>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</si>
  <si>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</si>
  <si>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</si>
  <si>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</si>
  <si>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</si>
  <si>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</si>
  <si>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</si>
  <si>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</si>
  <si>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</si>
  <si>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</si>
  <si>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</si>
  <si>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</si>
  <si>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</si>
  <si>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</si>
  <si>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</si>
  <si>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</si>
  <si>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</si>
  <si>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</si>
  <si>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</si>
  <si>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</si>
  <si>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</si>
  <si>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</si>
  <si>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</si>
  <si>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</si>
  <si>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</si>
  <si>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</si>
  <si>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</si>
  <si>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</si>
  <si>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</si>
  <si>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</si>
  <si>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</si>
  <si>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</si>
  <si>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</si>
  <si>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</si>
  <si>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</si>
  <si>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</si>
  <si>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</si>
  <si>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</si>
  <si>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</si>
  <si>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</si>
  <si>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</si>
  <si>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</si>
  <si>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</si>
  <si>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</si>
  <si>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</si>
  <si>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</si>
  <si>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</si>
  <si>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</si>
  <si>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</si>
  <si>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</si>
  <si>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</si>
  <si>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</si>
  <si>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</si>
  <si>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</si>
  <si>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</si>
  <si>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</si>
  <si>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</si>
  <si>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</si>
  <si>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</si>
  <si>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</si>
  <si>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</si>
  <si>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</si>
  <si>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</si>
  <si>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</si>
  <si>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</si>
  <si>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</si>
  <si>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</si>
  <si>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</si>
  <si>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</si>
  <si>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</si>
  <si>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</si>
  <si>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</si>
  <si>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</si>
  <si>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</si>
  <si>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</si>
  <si>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</si>
  <si>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</si>
  <si>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</si>
  <si>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</si>
  <si>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</si>
  <si>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</si>
  <si>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</si>
  <si>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</si>
  <si>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</si>
  <si>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</si>
  <si>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</si>
  <si>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</si>
  <si>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</si>
  <si>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</si>
  <si>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</si>
  <si>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</si>
  <si>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</si>
  <si>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Arial"/>
        <family val="2"/>
        <scheme val="minor"/>
      </rPr>
      <t>SHEET</t>
    </r>
    <r>
      <rPr>
        <b/>
        <sz val="22"/>
        <color theme="0"/>
        <rFont val="Arial"/>
        <family val="2"/>
        <scheme val="minor"/>
      </rPr>
      <t>.com</t>
    </r>
  </si>
  <si>
    <r>
      <t xml:space="preserve">Select your language. There are only 6 translated language. You can translate default English language to your own by typing its translation in column C. </t>
    </r>
    <r>
      <rPr>
        <sz val="11"/>
        <color rgb="FFFF0000"/>
        <rFont val="Arial"/>
        <family val="2"/>
        <scheme val="minor"/>
      </rPr>
      <t>YOU NEED TO TRANSLATE ALL TEXTS FROM COLUMN B</t>
    </r>
    <r>
      <rPr>
        <sz val="11"/>
        <rFont val="Arial"/>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</si>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</sst>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
    <numFmt numFmtId="165" formatCode="hh:mm;@"/>
    <numFmt numFmtId="166" formatCode="m/d/yy\ h:mm;@"/>
  </numFmts>
  <fonts count="34" x14ac:knownFonts="1">
    <font>
      <sz val="10"/>
      <name val="Arial"/>
      <family val="2"/>
    </font>
    <font>
      <b/>
      <sz val="11"/>
      <color theme="0"/>
      <name val="Arial"/>
      <family val="2"/>
      <scheme val="minor"/>
    </font>
    <font>
      <sz val="11"/>
      <color rgb="FFFF0000"/>
      <name val="Arial"/>
      <family val="2"/>
      <scheme val="minor"/>
    </font>
    <font>
      <sz val="11"/>
      <color theme="0"/>
      <name val="Arial"/>
      <family val="2"/>
      <scheme val="minor"/>
    </font>
    <font>
      <sz val="11"/>
      <name val="Arial"/>
      <family val="2"/>
      <scheme val="minor"/>
    </font>
    <font>
      <sz val="11"/>
      <color indexed="10"/>
      <name val="Arial"/>
      <family val="2"/>
      <scheme val="minor"/>
    </font>
    <font>
      <sz val="11"/>
      <color rgb="FFC00000"/>
      <name val="Arial"/>
      <family val="2"/>
      <scheme val="minor"/>
    </font>
    <font>
      <b/>
      <sz val="28"/>
      <name val="Arial"/>
      <family val="2"/>
      <scheme val="minor"/>
    </font>
    <font>
      <sz val="10"/>
      <name val="Arial"/>
      <family val="2"/>
      <scheme val="minor"/>
    </font>
    <font>
      <i/>
      <sz val="11"/>
      <name val="Arial"/>
      <family val="2"/>
      <scheme val="minor"/>
    </font>
    <font>
      <sz val="10"/>
      <color theme="0"/>
      <name val="Arial"/>
      <family val="2"/>
      <scheme val="minor"/>
    </font>
    <font>
      <b/>
      <sz val="10"/>
      <color theme="0"/>
      <name val="Arial"/>
      <family val="2"/>
      <scheme val="minor"/>
    </font>
    <font>
      <b/>
      <sz val="10"/>
      <name val="Arial"/>
      <family val="2"/>
      <scheme val="minor"/>
    </font>
    <font>
      <sz val="18"/>
      <color theme="0"/>
      <name val="Arial"/>
      <family val="2"/>
      <scheme val="minor"/>
    </font>
    <font>
      <b/>
      <sz val="11"/>
      <name val="Arial"/>
      <family val="2"/>
      <scheme val="minor"/>
    </font>
    <font>
      <b/>
      <sz val="11"/>
      <color indexed="9"/>
      <name val="Arial"/>
      <family val="2"/>
      <scheme val="minor"/>
    </font>
    <font>
      <i/>
      <sz val="11"/>
      <color theme="1" tint="0.499984740745262"/>
      <name val="Arial"/>
      <family val="2"/>
      <scheme val="minor"/>
    </font>
    <font>
      <b/>
      <sz val="11"/>
      <color theme="5" tint="-0.249977111117893"/>
      <name val="Arial"/>
      <family val="2"/>
      <scheme val="minor"/>
    </font>
    <font>
      <u/>
      <sz val="10"/>
      <color indexed="12"/>
      <name val="Arial"/>
      <family val="2"/>
    </font>
    <font>
      <sz val="10"/>
      <color rgb="FFFF0000"/>
      <name val="Arial"/>
      <family val="2"/>
    </font>
    <font>
      <b/>
      <sz val="11"/>
      <color rgb="FFFF0000"/>
      <name val="Arial"/>
      <family val="2"/>
      <scheme val="minor"/>
    </font>
    <font>
      <sz val="10"/>
      <name val="Arial"/>
      <family val="2"/>
    </font>
    <font>
      <b/>
      <sz val="22"/>
      <color theme="0"/>
      <name val="Arial"/>
      <family val="2"/>
      <scheme val="minor"/>
    </font>
    <font>
      <u/>
      <sz val="11"/>
      <color theme="0"/>
      <name val="Arial"/>
      <family val="2"/>
      <scheme val="minor"/>
    </font>
    <font>
      <sz val="11"/>
      <color theme="0" tint="-4.9989318521683403E-2"/>
      <name val="Arial"/>
      <family val="2"/>
      <scheme val="minor"/>
    </font>
    <font>
      <b/>
      <sz val="22"/>
      <color rgb="FF00B050"/>
      <name val="Arial"/>
      <family val="2"/>
      <scheme val="minor"/>
    </font>
    <font>
      <b/>
      <sz val="12"/>
      <color theme="0"/>
      <name val="Arial"/>
      <family val="2"/>
      <scheme val="minor"/>
    </font>
    <font>
      <b/>
      <sz val="20"/>
      <name val="Arial"/>
      <family val="2"/>
      <scheme val="minor"/>
    </font>
    <font>
      <u/>
      <sz val="12"/>
      <color indexed="12"/>
      <name val="Arial"/>
      <family val="2"/>
      <scheme val="minor"/>
    </font>
    <font>
      <b/>
      <sz val="24"/>
      <name val="Arial"/>
      <family val="2"/>
      <scheme val="minor"/>
    </font>
    <font>
      <b/>
      <sz val="12"/>
      <name val="Arial"/>
      <family val="2"/>
      <scheme val="minor"/>
    </font>
    <font>
      <sz val="11"/>
      <color rgb="FF002060"/>
      <name val="Arial"/>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33" fillId="15" borderId="0" xfId="1" applyFont="1" applyFill="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Normal" xfId="0" builtinId="0"/>
    <cellStyle name="Normal 2" xfId="2"/>
    <cellStyle name="היפר-קישור" xfId="1" builtinId="8"/>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a16="http://schemas.microsoft.com/office/drawing/2014/main" xmlns=""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800" b="1">
              <a:solidFill>
                <a:schemeClr val="dk1"/>
              </a:solidFill>
              <a:effectLst/>
              <a:latin typeface="+mn-lt"/>
              <a:ea typeface="+mn-ea"/>
              <a:cs typeface="+mn-cs"/>
            </a:rPr>
            <a:t/>
          </a:r>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r>
            <a:rPr lang="en-US" sz="1400" b="1">
              <a:solidFill>
                <a:schemeClr val="dk1"/>
              </a:solidFill>
              <a:effectLst/>
              <a:latin typeface="+mn-lt"/>
              <a:ea typeface="+mn-ea"/>
              <a:cs typeface="+mn-cs"/>
            </a:rPr>
            <a:t/>
          </a:r>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a16="http://schemas.microsoft.com/office/drawing/2014/main" xmlns=""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a16="http://schemas.microsoft.com/office/drawing/2014/main" xmlns=""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79"/>
  <sheetViews>
    <sheetView showGridLines="0" workbookViewId="0">
      <pane ySplit="7" topLeftCell="A8" activePane="bottomLeft" state="frozen"/>
      <selection pane="bottomLeft" activeCell="K22" sqref="K22"/>
    </sheetView>
  </sheetViews>
  <sheetFormatPr defaultColWidth="8.88671875" defaultRowHeight="13.8" x14ac:dyDescent="0.25"/>
  <cols>
    <col min="1" max="1" width="1.5546875" style="2" customWidth="1"/>
    <col min="2" max="2" width="35.88671875" style="6" bestFit="1" customWidth="1"/>
    <col min="3" max="3" width="29.5546875" style="2" customWidth="1"/>
    <col min="4" max="4" width="3.109375" style="174" customWidth="1"/>
    <col min="5" max="5" width="10.5546875" style="13" customWidth="1"/>
    <col min="6" max="6" width="8.88671875" style="2" customWidth="1"/>
    <col min="7" max="7" width="1.5546875" style="2" customWidth="1"/>
    <col min="8" max="8" width="0.88671875" style="64" customWidth="1"/>
    <col min="9" max="9" width="1.5546875" style="2" customWidth="1"/>
    <col min="10" max="10" width="2.5546875" style="2" customWidth="1"/>
    <col min="11" max="11" width="24.5546875" style="2" customWidth="1"/>
    <col min="12" max="12" width="10.33203125" style="2" customWidth="1"/>
    <col min="13" max="22" width="8.88671875" style="2"/>
    <col min="23" max="23" width="16.44140625" style="2" customWidth="1"/>
    <col min="24" max="16384" width="8.88671875" style="2"/>
  </cols>
  <sheetData>
    <row r="1" spans="1:105" s="156" customFormat="1" ht="5.4"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5.4" x14ac:dyDescent="0.25">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5"/>
    <row r="4" spans="1:105" ht="15" customHeight="1" x14ac:dyDescent="0.25">
      <c r="B4" s="145" t="s">
        <v>474</v>
      </c>
      <c r="C4" s="62">
        <v>0</v>
      </c>
      <c r="E4" s="170"/>
      <c r="F4" s="171"/>
      <c r="J4" s="66" t="s">
        <v>364</v>
      </c>
      <c r="K4" s="2" t="s">
        <v>365</v>
      </c>
    </row>
    <row r="5" spans="1:105" ht="15" customHeight="1" x14ac:dyDescent="0.25">
      <c r="B5" s="145" t="s">
        <v>362</v>
      </c>
      <c r="C5" s="63" t="s">
        <v>1</v>
      </c>
      <c r="E5" s="211" t="s">
        <v>2</v>
      </c>
      <c r="F5" s="213" t="s">
        <v>472</v>
      </c>
      <c r="J5" s="66" t="s">
        <v>364</v>
      </c>
      <c r="K5" s="2" t="s">
        <v>429</v>
      </c>
    </row>
    <row r="6" spans="1:105" ht="15" customHeight="1" x14ac:dyDescent="0.25">
      <c r="B6" s="167" t="s">
        <v>363</v>
      </c>
      <c r="C6" s="14" t="s">
        <v>3</v>
      </c>
      <c r="E6" s="211"/>
      <c r="F6" s="213"/>
      <c r="K6" s="11" t="s">
        <v>366</v>
      </c>
    </row>
    <row r="7" spans="1:105" ht="15" customHeight="1" x14ac:dyDescent="0.25">
      <c r="A7" s="15"/>
      <c r="B7" s="168" t="s">
        <v>4</v>
      </c>
      <c r="C7" s="169" t="s">
        <v>5</v>
      </c>
      <c r="D7" s="175"/>
      <c r="E7" s="212"/>
      <c r="F7" s="214"/>
      <c r="J7" s="66" t="s">
        <v>364</v>
      </c>
      <c r="K7" s="2" t="s">
        <v>367</v>
      </c>
    </row>
    <row r="8" spans="1:105" ht="15" customHeight="1" x14ac:dyDescent="0.25">
      <c r="B8" s="16" t="s">
        <v>9</v>
      </c>
      <c r="C8" s="14"/>
      <c r="D8" s="176" t="s">
        <v>6</v>
      </c>
      <c r="E8" s="65">
        <v>1862</v>
      </c>
      <c r="F8" s="65"/>
      <c r="J8" s="67"/>
      <c r="K8" s="74" t="s">
        <v>414</v>
      </c>
    </row>
    <row r="9" spans="1:105" ht="15" customHeight="1" x14ac:dyDescent="0.25">
      <c r="B9" s="16" t="s">
        <v>431</v>
      </c>
      <c r="C9" s="14"/>
      <c r="D9" s="176" t="s">
        <v>6</v>
      </c>
      <c r="E9" s="17">
        <v>1533</v>
      </c>
      <c r="F9" s="17"/>
      <c r="J9" s="67" t="s">
        <v>364</v>
      </c>
      <c r="K9" s="11" t="s">
        <v>368</v>
      </c>
    </row>
    <row r="10" spans="1:105" ht="15" customHeight="1" thickBot="1" x14ac:dyDescent="0.3">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5">
      <c r="B11" s="16" t="s">
        <v>475</v>
      </c>
      <c r="C11" s="14"/>
      <c r="D11" s="176" t="s">
        <v>6</v>
      </c>
      <c r="E11" s="17">
        <v>1455</v>
      </c>
      <c r="F11" s="17"/>
      <c r="J11" s="2" t="s">
        <v>377</v>
      </c>
    </row>
    <row r="12" spans="1:105" ht="15" customHeight="1" x14ac:dyDescent="0.25">
      <c r="B12" s="16" t="s">
        <v>10</v>
      </c>
      <c r="C12" s="14"/>
      <c r="D12" s="176" t="s">
        <v>6</v>
      </c>
      <c r="E12" s="17">
        <v>1664</v>
      </c>
      <c r="F12" s="17"/>
      <c r="J12" s="13">
        <v>1</v>
      </c>
      <c r="K12" s="2" t="s">
        <v>370</v>
      </c>
    </row>
    <row r="13" spans="1:105" ht="15" customHeight="1" x14ac:dyDescent="0.25">
      <c r="B13" s="16" t="s">
        <v>7</v>
      </c>
      <c r="C13" s="14"/>
      <c r="D13" s="176" t="s">
        <v>6</v>
      </c>
      <c r="E13" s="17">
        <v>1508</v>
      </c>
      <c r="F13" s="17"/>
      <c r="J13" s="13">
        <v>2</v>
      </c>
      <c r="K13" s="2" t="s">
        <v>371</v>
      </c>
    </row>
    <row r="14" spans="1:105" ht="15" customHeight="1" x14ac:dyDescent="0.25">
      <c r="B14" s="16" t="s">
        <v>433</v>
      </c>
      <c r="C14" s="14"/>
      <c r="D14" s="176" t="s">
        <v>6</v>
      </c>
      <c r="E14" s="17">
        <v>1446</v>
      </c>
      <c r="F14" s="17"/>
      <c r="J14" s="13">
        <v>3</v>
      </c>
      <c r="K14" s="2" t="s">
        <v>372</v>
      </c>
    </row>
    <row r="15" spans="1:105" ht="15" customHeight="1" x14ac:dyDescent="0.25">
      <c r="B15" s="16" t="s">
        <v>434</v>
      </c>
      <c r="C15" s="14"/>
      <c r="D15" s="176" t="s">
        <v>6</v>
      </c>
      <c r="E15" s="17">
        <v>1422</v>
      </c>
      <c r="F15" s="17"/>
      <c r="J15" s="13">
        <v>4</v>
      </c>
      <c r="K15" s="2" t="s">
        <v>373</v>
      </c>
    </row>
    <row r="16" spans="1:105" ht="15" customHeight="1" x14ac:dyDescent="0.25">
      <c r="B16" s="16" t="s">
        <v>8</v>
      </c>
      <c r="C16" s="14"/>
      <c r="D16" s="176" t="s">
        <v>6</v>
      </c>
      <c r="E16" s="17">
        <v>1676</v>
      </c>
      <c r="F16" s="17"/>
      <c r="J16" s="13">
        <v>5</v>
      </c>
      <c r="K16" s="2" t="s">
        <v>374</v>
      </c>
    </row>
    <row r="17" spans="2:11" ht="15" customHeight="1" x14ac:dyDescent="0.25">
      <c r="B17" s="16" t="s">
        <v>12</v>
      </c>
      <c r="C17" s="14"/>
      <c r="D17" s="176" t="s">
        <v>6</v>
      </c>
      <c r="E17" s="17">
        <v>1644</v>
      </c>
      <c r="F17" s="17"/>
      <c r="J17" s="13">
        <v>6</v>
      </c>
      <c r="K17" s="2" t="s">
        <v>375</v>
      </c>
    </row>
    <row r="18" spans="2:11" ht="15" customHeight="1" x14ac:dyDescent="0.25">
      <c r="B18" s="16" t="s">
        <v>435</v>
      </c>
      <c r="C18" s="14"/>
      <c r="D18" s="176" t="s">
        <v>6</v>
      </c>
      <c r="E18" s="17">
        <v>1461</v>
      </c>
      <c r="F18" s="17"/>
      <c r="J18" s="13">
        <v>7</v>
      </c>
      <c r="K18" s="2" t="s">
        <v>470</v>
      </c>
    </row>
    <row r="19" spans="2:11" ht="15" customHeight="1" x14ac:dyDescent="0.25">
      <c r="B19" s="16" t="s">
        <v>436</v>
      </c>
      <c r="C19" s="14"/>
      <c r="D19" s="176" t="s">
        <v>6</v>
      </c>
      <c r="E19" s="17">
        <v>1271</v>
      </c>
      <c r="F19" s="17"/>
      <c r="J19" s="13">
        <v>8</v>
      </c>
      <c r="K19" s="2" t="s">
        <v>471</v>
      </c>
    </row>
    <row r="20" spans="2:11" ht="15" customHeight="1" x14ac:dyDescent="0.25">
      <c r="B20" s="16" t="s">
        <v>11</v>
      </c>
      <c r="C20" s="14"/>
      <c r="D20" s="176" t="s">
        <v>6</v>
      </c>
      <c r="E20" s="17">
        <v>1812</v>
      </c>
      <c r="F20" s="17"/>
      <c r="J20" s="13">
        <v>8</v>
      </c>
      <c r="K20" s="2" t="s">
        <v>376</v>
      </c>
    </row>
    <row r="21" spans="2:11" ht="15" customHeight="1" x14ac:dyDescent="0.25">
      <c r="B21" s="16" t="s">
        <v>437</v>
      </c>
      <c r="C21" s="14"/>
      <c r="D21" s="176" t="s">
        <v>6</v>
      </c>
      <c r="E21" s="17">
        <v>1627</v>
      </c>
      <c r="F21" s="17"/>
    </row>
    <row r="22" spans="2:11" ht="15" customHeight="1" x14ac:dyDescent="0.25">
      <c r="B22" s="16" t="s">
        <v>438</v>
      </c>
      <c r="C22" s="14"/>
      <c r="D22" s="176" t="s">
        <v>6</v>
      </c>
      <c r="E22" s="17">
        <v>1437</v>
      </c>
      <c r="F22" s="17"/>
    </row>
    <row r="23" spans="2:11" ht="15" customHeight="1" x14ac:dyDescent="0.25">
      <c r="B23" s="16" t="s">
        <v>476</v>
      </c>
      <c r="C23" s="14"/>
      <c r="D23" s="176" t="s">
        <v>6</v>
      </c>
      <c r="E23" s="17">
        <v>1452</v>
      </c>
      <c r="F23" s="17"/>
    </row>
    <row r="24" spans="2:11" ht="15" customHeight="1" x14ac:dyDescent="0.25">
      <c r="B24" s="16" t="s">
        <v>13</v>
      </c>
      <c r="C24" s="14"/>
      <c r="E24" s="18" t="s">
        <v>468</v>
      </c>
    </row>
    <row r="25" spans="2:11" ht="15" customHeight="1" x14ac:dyDescent="0.25">
      <c r="B25" s="16" t="s">
        <v>14</v>
      </c>
      <c r="C25" s="14"/>
    </row>
    <row r="26" spans="2:11" ht="15" customHeight="1" x14ac:dyDescent="0.25">
      <c r="B26" s="16" t="s">
        <v>15</v>
      </c>
      <c r="C26" s="14"/>
    </row>
    <row r="27" spans="2:11" ht="15" customHeight="1" x14ac:dyDescent="0.25">
      <c r="B27" s="16" t="s">
        <v>16</v>
      </c>
      <c r="C27" s="14"/>
    </row>
    <row r="28" spans="2:11" ht="15" customHeight="1" x14ac:dyDescent="0.25">
      <c r="B28" s="16" t="s">
        <v>17</v>
      </c>
      <c r="C28" s="14"/>
    </row>
    <row r="29" spans="2:11" ht="15" customHeight="1" x14ac:dyDescent="0.25">
      <c r="B29" s="16" t="s">
        <v>18</v>
      </c>
      <c r="C29" s="14"/>
    </row>
    <row r="30" spans="2:11" ht="15" customHeight="1" x14ac:dyDescent="0.25">
      <c r="B30" s="16" t="s">
        <v>19</v>
      </c>
      <c r="C30" s="14"/>
    </row>
    <row r="31" spans="2:11" ht="15" customHeight="1" x14ac:dyDescent="0.25">
      <c r="B31" s="16" t="s">
        <v>20</v>
      </c>
      <c r="C31" s="14"/>
    </row>
    <row r="32" spans="2:11" ht="15" customHeight="1" x14ac:dyDescent="0.25">
      <c r="B32" s="16" t="s">
        <v>21</v>
      </c>
      <c r="C32" s="14"/>
    </row>
    <row r="33" spans="2:3" ht="15" customHeight="1" x14ac:dyDescent="0.25">
      <c r="B33" s="16" t="s">
        <v>22</v>
      </c>
      <c r="C33" s="14"/>
    </row>
    <row r="34" spans="2:3" ht="15" customHeight="1" x14ac:dyDescent="0.25">
      <c r="B34" s="16" t="s">
        <v>23</v>
      </c>
      <c r="C34" s="14"/>
    </row>
    <row r="35" spans="2:3" ht="15" customHeight="1" x14ac:dyDescent="0.25">
      <c r="B35" s="16" t="s">
        <v>24</v>
      </c>
      <c r="C35" s="14"/>
    </row>
    <row r="36" spans="2:3" ht="15" customHeight="1" x14ac:dyDescent="0.25">
      <c r="B36" s="16" t="s">
        <v>25</v>
      </c>
      <c r="C36" s="14"/>
    </row>
    <row r="37" spans="2:3" ht="15" customHeight="1" x14ac:dyDescent="0.25">
      <c r="B37" s="16" t="s">
        <v>26</v>
      </c>
      <c r="C37" s="14"/>
    </row>
    <row r="38" spans="2:3" ht="15" customHeight="1" x14ac:dyDescent="0.25">
      <c r="B38" s="16" t="s">
        <v>27</v>
      </c>
      <c r="C38" s="14"/>
    </row>
    <row r="39" spans="2:3" ht="15" customHeight="1" x14ac:dyDescent="0.25">
      <c r="B39" s="16" t="s">
        <v>28</v>
      </c>
      <c r="C39" s="14"/>
    </row>
    <row r="40" spans="2:3" ht="15" customHeight="1" x14ac:dyDescent="0.25">
      <c r="B40" s="16" t="s">
        <v>29</v>
      </c>
      <c r="C40" s="14"/>
    </row>
    <row r="41" spans="2:3" ht="15" customHeight="1" x14ac:dyDescent="0.25">
      <c r="B41" s="16" t="s">
        <v>415</v>
      </c>
      <c r="C41" s="14"/>
    </row>
    <row r="42" spans="2:3" ht="15" customHeight="1" x14ac:dyDescent="0.25">
      <c r="B42" s="16" t="s">
        <v>30</v>
      </c>
      <c r="C42" s="14"/>
    </row>
    <row r="43" spans="2:3" ht="15" customHeight="1" x14ac:dyDescent="0.25">
      <c r="B43" s="16" t="s">
        <v>31</v>
      </c>
      <c r="C43" s="14"/>
    </row>
    <row r="44" spans="2:3" ht="15" customHeight="1" x14ac:dyDescent="0.25">
      <c r="B44" s="16" t="s">
        <v>32</v>
      </c>
      <c r="C44" s="14"/>
    </row>
    <row r="45" spans="2:3" ht="15" customHeight="1" x14ac:dyDescent="0.25">
      <c r="B45" s="16" t="s">
        <v>33</v>
      </c>
      <c r="C45" s="14"/>
    </row>
    <row r="46" spans="2:3" ht="15" customHeight="1" x14ac:dyDescent="0.25">
      <c r="B46" s="16" t="s">
        <v>34</v>
      </c>
      <c r="C46" s="14"/>
    </row>
    <row r="47" spans="2:3" ht="15" customHeight="1" x14ac:dyDescent="0.25">
      <c r="B47" s="16" t="s">
        <v>35</v>
      </c>
      <c r="C47" s="14"/>
    </row>
    <row r="48" spans="2:3" ht="15" customHeight="1" x14ac:dyDescent="0.25">
      <c r="B48" s="16" t="s">
        <v>36</v>
      </c>
      <c r="C48" s="14"/>
    </row>
    <row r="49" spans="2:3" ht="15" customHeight="1" x14ac:dyDescent="0.25">
      <c r="B49" s="16" t="s">
        <v>37</v>
      </c>
      <c r="C49" s="14"/>
    </row>
    <row r="50" spans="2:3" ht="15" customHeight="1" x14ac:dyDescent="0.25">
      <c r="B50" s="16" t="s">
        <v>38</v>
      </c>
      <c r="C50" s="14"/>
    </row>
    <row r="51" spans="2:3" ht="15" customHeight="1" x14ac:dyDescent="0.25">
      <c r="B51" s="16" t="s">
        <v>39</v>
      </c>
      <c r="C51" s="14"/>
    </row>
    <row r="52" spans="2:3" ht="15" customHeight="1" x14ac:dyDescent="0.25">
      <c r="B52" s="16" t="s">
        <v>40</v>
      </c>
      <c r="C52" s="14"/>
    </row>
    <row r="53" spans="2:3" ht="15" customHeight="1" x14ac:dyDescent="0.25">
      <c r="B53" s="16" t="s">
        <v>439</v>
      </c>
      <c r="C53" s="14"/>
    </row>
    <row r="54" spans="2:3" ht="15" customHeight="1" x14ac:dyDescent="0.25">
      <c r="B54" s="16" t="s">
        <v>440</v>
      </c>
      <c r="C54" s="14"/>
    </row>
    <row r="55" spans="2:3" ht="15" customHeight="1" x14ac:dyDescent="0.25">
      <c r="B55" s="16" t="s">
        <v>441</v>
      </c>
      <c r="C55" s="14"/>
    </row>
    <row r="56" spans="2:3" ht="15" customHeight="1" x14ac:dyDescent="0.25">
      <c r="B56" s="16" t="s">
        <v>442</v>
      </c>
      <c r="C56" s="14"/>
    </row>
    <row r="57" spans="2:3" ht="15" customHeight="1" x14ac:dyDescent="0.25">
      <c r="B57" s="16" t="s">
        <v>443</v>
      </c>
      <c r="C57" s="14"/>
    </row>
    <row r="58" spans="2:3" ht="15" customHeight="1" x14ac:dyDescent="0.25">
      <c r="B58" s="16" t="s">
        <v>444</v>
      </c>
      <c r="C58" s="14"/>
    </row>
    <row r="59" spans="2:3" ht="15" customHeight="1" x14ac:dyDescent="0.25">
      <c r="B59" s="16" t="s">
        <v>445</v>
      </c>
      <c r="C59" s="14"/>
    </row>
    <row r="60" spans="2:3" ht="15" customHeight="1" x14ac:dyDescent="0.25">
      <c r="B60" s="16" t="s">
        <v>446</v>
      </c>
      <c r="C60" s="14"/>
    </row>
    <row r="61" spans="2:3" ht="15" customHeight="1" x14ac:dyDescent="0.25">
      <c r="B61" s="16" t="s">
        <v>41</v>
      </c>
      <c r="C61" s="14"/>
    </row>
    <row r="62" spans="2:3" ht="15" customHeight="1" x14ac:dyDescent="0.25">
      <c r="B62" s="16" t="s">
        <v>42</v>
      </c>
      <c r="C62" s="14"/>
    </row>
    <row r="63" spans="2:3" ht="15" customHeight="1" x14ac:dyDescent="0.25">
      <c r="B63" s="16" t="s">
        <v>43</v>
      </c>
      <c r="C63" s="14"/>
    </row>
    <row r="64" spans="2:3" ht="15" customHeight="1" x14ac:dyDescent="0.25">
      <c r="B64" s="16" t="s">
        <v>44</v>
      </c>
      <c r="C64" s="14"/>
    </row>
    <row r="65" spans="2:3" ht="15" customHeight="1" x14ac:dyDescent="0.25">
      <c r="B65" s="16" t="s">
        <v>45</v>
      </c>
      <c r="C65" s="14"/>
    </row>
    <row r="66" spans="2:3" ht="15" customHeight="1" x14ac:dyDescent="0.25">
      <c r="B66" s="16" t="s">
        <v>46</v>
      </c>
      <c r="C66" s="14"/>
    </row>
    <row r="67" spans="2:3" ht="15" customHeight="1" x14ac:dyDescent="0.25">
      <c r="B67" s="16" t="s">
        <v>47</v>
      </c>
      <c r="C67" s="14"/>
    </row>
    <row r="68" spans="2:3" ht="15" customHeight="1" x14ac:dyDescent="0.25">
      <c r="B68" s="16" t="s">
        <v>48</v>
      </c>
      <c r="C68" s="14"/>
    </row>
    <row r="69" spans="2:3" ht="15" customHeight="1" x14ac:dyDescent="0.25">
      <c r="B69" s="16" t="s">
        <v>49</v>
      </c>
      <c r="C69" s="14"/>
    </row>
    <row r="70" spans="2:3" ht="15" customHeight="1" x14ac:dyDescent="0.25">
      <c r="B70" s="16" t="s">
        <v>50</v>
      </c>
      <c r="C70" s="14"/>
    </row>
    <row r="71" spans="2:3" ht="15" customHeight="1" x14ac:dyDescent="0.25">
      <c r="B71" s="16" t="s">
        <v>51</v>
      </c>
      <c r="C71" s="14"/>
    </row>
    <row r="72" spans="2:3" ht="15" customHeight="1" x14ac:dyDescent="0.25">
      <c r="B72" s="16" t="s">
        <v>52</v>
      </c>
      <c r="C72" s="14"/>
    </row>
    <row r="73" spans="2:3" ht="15" customHeight="1" x14ac:dyDescent="0.25">
      <c r="B73" s="16" t="s">
        <v>447</v>
      </c>
      <c r="C73" s="14"/>
    </row>
    <row r="74" spans="2:3" ht="15" customHeight="1" x14ac:dyDescent="0.25">
      <c r="B74" s="16" t="s">
        <v>448</v>
      </c>
      <c r="C74" s="14"/>
    </row>
    <row r="75" spans="2:3" ht="15" customHeight="1" x14ac:dyDescent="0.25">
      <c r="B75" s="16" t="s">
        <v>53</v>
      </c>
      <c r="C75" s="14"/>
    </row>
    <row r="76" spans="2:3" ht="15" customHeight="1" x14ac:dyDescent="0.25">
      <c r="B76" s="16" t="s">
        <v>449</v>
      </c>
      <c r="C76" s="14"/>
    </row>
    <row r="77" spans="2:3" ht="15" customHeight="1" x14ac:dyDescent="0.25">
      <c r="B77" s="16" t="s">
        <v>450</v>
      </c>
      <c r="C77" s="14"/>
    </row>
    <row r="78" spans="2:3" x14ac:dyDescent="0.25">
      <c r="B78" s="16" t="s">
        <v>451</v>
      </c>
      <c r="C78" s="14"/>
    </row>
    <row r="79" spans="2:3" x14ac:dyDescent="0.25">
      <c r="B79" s="16" t="s">
        <v>452</v>
      </c>
      <c r="C79" s="14"/>
    </row>
  </sheetData>
  <sheetProtection sheet="1" formatCells="0" formatColumns="0" formatRows="0"/>
  <mergeCells count="2">
    <mergeCell ref="E5:E7"/>
    <mergeCell ref="F5:F7"/>
  </mergeCells>
  <dataValidations count="2">
    <dataValidation type="list" allowBlank="1" showInputMessage="1" showErrorMessage="1" sqref="C4">
      <formula1>TimeZoneList</formula1>
    </dataValidation>
    <dataValidation type="list" allowBlank="1" showInputMessage="1" showErrorMessage="1" sqref="C5">
      <formula1>Countries</formula1>
    </dataValidation>
  </dataValidations>
  <hyperlinks>
    <hyperlink ref="M10" r:id="rId1"/>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68"/>
  <sheetViews>
    <sheetView showGridLines="0" tabSelected="1" zoomScaleNormal="100" workbookViewId="0">
      <pane ySplit="3" topLeftCell="A7" activePane="bottomLeft" state="frozen"/>
      <selection activeCell="H10" sqref="H10"/>
      <selection pane="bottomLeft" activeCell="I11" sqref="I11"/>
    </sheetView>
  </sheetViews>
  <sheetFormatPr defaultColWidth="9.109375" defaultRowHeight="13.8" zeroHeight="1" x14ac:dyDescent="0.25"/>
  <cols>
    <col min="1" max="1" width="1.5546875" style="46" customWidth="1"/>
    <col min="2" max="2" width="3.5546875" style="46" customWidth="1"/>
    <col min="3" max="3" width="5.5546875" style="46" customWidth="1"/>
    <col min="4" max="4" width="6.5546875" style="55" customWidth="1"/>
    <col min="5" max="5" width="6.88671875" style="46" customWidth="1"/>
    <col min="6" max="6" width="18.5546875" style="56" customWidth="1"/>
    <col min="7" max="7" width="1.5546875" style="56" customWidth="1"/>
    <col min="8" max="9" width="3.109375" style="46" customWidth="1"/>
    <col min="10" max="10" width="1.5546875" style="56" customWidth="1"/>
    <col min="11" max="11" width="18.5546875" style="57" customWidth="1"/>
    <col min="12" max="13" width="3.109375" style="57" customWidth="1"/>
    <col min="14" max="14" width="32.6640625" style="46" customWidth="1"/>
    <col min="15" max="15" width="0.88671875" style="46" customWidth="1"/>
    <col min="16" max="16" width="2.5546875" style="46" customWidth="1"/>
    <col min="17" max="17" width="15.5546875" style="46" customWidth="1"/>
    <col min="18" max="21" width="2.5546875" style="23" customWidth="1"/>
    <col min="22" max="22" width="6.5546875" style="23" customWidth="1"/>
    <col min="23" max="23" width="3.5546875" style="23" customWidth="1"/>
    <col min="24" max="24" width="1.5546875" style="58" customWidth="1"/>
    <col min="25" max="25" width="0.88671875" style="1" customWidth="1"/>
    <col min="26" max="26" width="1.5546875" style="46" customWidth="1"/>
    <col min="27" max="27" width="2.5546875" style="46" customWidth="1"/>
    <col min="28" max="28" width="14.109375" style="46" customWidth="1"/>
    <col min="29" max="29" width="1.109375" style="46" customWidth="1"/>
    <col min="30" max="30" width="5.6640625" style="46" customWidth="1"/>
    <col min="31" max="92" width="9.109375" style="46" customWidth="1"/>
    <col min="93" max="96" width="9.109375" style="23" customWidth="1"/>
    <col min="97" max="16384" width="9.10937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5">
      <c r="B2" s="19" t="str">
        <f>UPPER(INDEX(Translation,MATCH("Copa America 2024 Fixtures",TransRef,0),MATCH(Setup!C5,LanguageRef,0)))</f>
        <v>COPA AMERICA 2024 FIXTURES</v>
      </c>
      <c r="D2" s="4"/>
      <c r="F2" s="5"/>
      <c r="G2" s="5"/>
      <c r="J2" s="5"/>
      <c r="K2" s="6"/>
      <c r="L2" s="6"/>
      <c r="M2" s="6"/>
      <c r="N2" s="6"/>
      <c r="O2" s="6"/>
      <c r="P2" s="215" t="s">
        <v>517</v>
      </c>
      <c r="Q2" s="215"/>
      <c r="R2" s="215"/>
      <c r="S2" s="215"/>
      <c r="T2" s="215"/>
      <c r="U2" s="215"/>
      <c r="V2" s="215"/>
      <c r="W2" s="215"/>
      <c r="X2" s="8"/>
      <c r="Y2" s="71"/>
      <c r="CO2" s="12"/>
      <c r="CP2" s="12"/>
      <c r="CQ2" s="12"/>
      <c r="CR2" s="12"/>
    </row>
    <row r="3" spans="2:96" s="21" customFormat="1" ht="14.4"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16" t="str">
        <f>INDEX(Translation,MATCH("Score",TransRef,0),MATCH(Setup!C5,LanguageRef,0))</f>
        <v>Score</v>
      </c>
      <c r="I3" s="216"/>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17" t="str">
        <f>INDEX(Translation,MATCH("Group A",TransRef,0),MATCH(Setup!$C$5,LanguageRef,0))</f>
        <v>Group A</v>
      </c>
      <c r="Q4" s="217"/>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v>2</v>
      </c>
      <c r="I5" s="116">
        <v>0</v>
      </c>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1</v>
      </c>
      <c r="S5" s="75">
        <f>VLOOKUP($Q5,Calculator!$C$4:$K$35,3,FALSE)</f>
        <v>1</v>
      </c>
      <c r="T5" s="75">
        <f>VLOOKUP($Q5,Calculator!$C$4:$K$35,4,FALSE)</f>
        <v>0</v>
      </c>
      <c r="U5" s="75">
        <f>VLOOKUP($Q5,Calculator!$C$4:$K$35,5,FALSE)</f>
        <v>0</v>
      </c>
      <c r="V5" s="75" t="str">
        <f>VLOOKUP($Q5,Calculator!$C$4:$K$35,6,FALSE)&amp;" - "&amp;VLOOKUP($Q5,Calculator!$C$4:$K$35,7,FALSE)</f>
        <v>2 - 0</v>
      </c>
      <c r="W5" s="75">
        <f>VLOOKUP($Q5,Calculator!$C$4:$K$35,9,FALSE)</f>
        <v>3</v>
      </c>
      <c r="X5" s="8"/>
      <c r="Y5" s="71"/>
      <c r="AA5" s="11" t="s">
        <v>411</v>
      </c>
      <c r="AF5" s="5"/>
      <c r="CO5" s="12"/>
      <c r="CP5" s="12"/>
      <c r="CQ5" s="23"/>
      <c r="CR5" s="12"/>
    </row>
    <row r="6" spans="2:96" s="2" customFormat="1" ht="14.4" customHeight="1" x14ac:dyDescent="0.25">
      <c r="B6" s="24">
        <v>2</v>
      </c>
      <c r="C6" s="30" t="s">
        <v>60</v>
      </c>
      <c r="D6" s="31">
        <f t="shared" si="0"/>
        <v>45464.833333333336</v>
      </c>
      <c r="E6" s="32">
        <f>Calculator!BX8</f>
        <v>45464.833333333336</v>
      </c>
      <c r="F6" s="33" t="str">
        <f>INDEX(Translation,MATCH(Setup!B9,TransRef,0),MATCH(Setup!$C$5,LanguageRef,0))</f>
        <v>Peru</v>
      </c>
      <c r="G6" s="33"/>
      <c r="H6" s="115">
        <v>0</v>
      </c>
      <c r="I6" s="116">
        <v>0</v>
      </c>
      <c r="J6" s="33"/>
      <c r="K6" s="34" t="str">
        <f>INDEX(Translation,MATCH(Setup!B10,TransRef,0),MATCH(Setup!$C$5,LanguageRef,0))</f>
        <v>Chile</v>
      </c>
      <c r="L6" s="34"/>
      <c r="M6" s="34"/>
      <c r="N6" s="178" t="s">
        <v>454</v>
      </c>
      <c r="O6" s="7"/>
      <c r="P6" s="75">
        <v>2</v>
      </c>
      <c r="Q6" s="76" t="str">
        <f>INDEX(Calculator!$U$4:$U$7,MATCH(2,Calculator!$BK$4:$BK$7,0),0)</f>
        <v>Peru</v>
      </c>
      <c r="R6" s="75">
        <f>VLOOKUP($Q6,Calculator!$C$4:$K$35,2,FALSE)</f>
        <v>1</v>
      </c>
      <c r="S6" s="75">
        <f>VLOOKUP($Q6,Calculator!$C$4:$K$35,3,FALSE)</f>
        <v>0</v>
      </c>
      <c r="T6" s="75">
        <f>VLOOKUP($Q6,Calculator!$C$4:$K$35,4,FALSE)</f>
        <v>1</v>
      </c>
      <c r="U6" s="75">
        <f>VLOOKUP($Q6,Calculator!$C$4:$K$35,5,FALSE)</f>
        <v>0</v>
      </c>
      <c r="V6" s="75" t="str">
        <f>VLOOKUP($Q6,Calculator!$C$4:$K$35,6,FALSE)&amp;" - "&amp;VLOOKUP($Q6,Calculator!$C$4:$K$35,7,FALSE)</f>
        <v>0 - 0</v>
      </c>
      <c r="W6" s="75">
        <f>VLOOKUP($Q6,Calculator!$C$4:$K$35,9,FALSE)</f>
        <v>1</v>
      </c>
      <c r="X6" s="8"/>
      <c r="Y6" s="71"/>
      <c r="AA6" s="73" t="s">
        <v>412</v>
      </c>
      <c r="AE6" s="187" t="s">
        <v>473</v>
      </c>
      <c r="AF6" s="5"/>
      <c r="CO6" s="12"/>
      <c r="CP6" s="12"/>
      <c r="CQ6" s="23"/>
      <c r="CR6" s="12"/>
    </row>
    <row r="7" spans="2:96" s="2" customFormat="1" ht="14.4" customHeight="1" x14ac:dyDescent="0.25">
      <c r="B7" s="24">
        <v>3</v>
      </c>
      <c r="C7" s="13" t="s">
        <v>61</v>
      </c>
      <c r="D7" s="35">
        <f t="shared" si="0"/>
        <v>45465.75</v>
      </c>
      <c r="E7" s="36">
        <f>Calculator!BX9</f>
        <v>45465.75</v>
      </c>
      <c r="F7" s="37" t="str">
        <f>INDEX(Translation,MATCH(Setup!B13,TransRef,0),MATCH(Setup!$C$5,LanguageRef,0))</f>
        <v>Ecuador</v>
      </c>
      <c r="G7" s="37"/>
      <c r="H7" s="115">
        <v>1</v>
      </c>
      <c r="I7" s="116">
        <v>2</v>
      </c>
      <c r="J7" s="37"/>
      <c r="K7" s="2" t="str">
        <f>INDEX(Translation,MATCH(Setup!B14,TransRef,0),MATCH(Setup!$C$5,LanguageRef,0))</f>
        <v>Venezuela</v>
      </c>
      <c r="N7" s="179" t="s">
        <v>455</v>
      </c>
      <c r="O7" s="7"/>
      <c r="P7" s="38">
        <v>3</v>
      </c>
      <c r="Q7" s="39" t="str">
        <f>INDEX(Calculator!$U$4:$U$7,MATCH(3,Calculator!$BK$4:$BK$7,0),0)</f>
        <v>Chile</v>
      </c>
      <c r="R7" s="38">
        <f>VLOOKUP($Q7,Calculator!$C$4:$K$35,2,FALSE)</f>
        <v>1</v>
      </c>
      <c r="S7" s="38">
        <f>VLOOKUP($Q7,Calculator!$C$4:$K$35,3,FALSE)</f>
        <v>0</v>
      </c>
      <c r="T7" s="38">
        <f>VLOOKUP($Q7,Calculator!$C$4:$K$35,4,FALSE)</f>
        <v>1</v>
      </c>
      <c r="U7" s="38">
        <f>VLOOKUP($Q7,Calculator!$C$4:$K$35,5,FALSE)</f>
        <v>0</v>
      </c>
      <c r="V7" s="38" t="str">
        <f>VLOOKUP($Q7,Calculator!$C$4:$K$35,6,FALSE)&amp;" - "&amp;VLOOKUP($Q7,Calculator!$C$4:$K$35,7,FALSE)</f>
        <v>0 - 0</v>
      </c>
      <c r="W7" s="38">
        <f>VLOOKUP($Q7,Calculator!$C$4:$K$35,9,FALSE)</f>
        <v>1</v>
      </c>
      <c r="X7" s="8"/>
      <c r="Y7" s="71"/>
      <c r="AA7" s="11" t="s">
        <v>413</v>
      </c>
      <c r="CO7" s="12"/>
      <c r="CP7" s="12"/>
      <c r="CQ7" s="23"/>
      <c r="CR7" s="12"/>
    </row>
    <row r="8" spans="2:96" s="2" customFormat="1" ht="14.4" customHeight="1" x14ac:dyDescent="0.25">
      <c r="B8" s="24">
        <v>4</v>
      </c>
      <c r="C8" s="30" t="s">
        <v>61</v>
      </c>
      <c r="D8" s="31">
        <f t="shared" si="0"/>
        <v>45465.791666666664</v>
      </c>
      <c r="E8" s="32">
        <f>Calculator!BX10</f>
        <v>45465.791666666664</v>
      </c>
      <c r="F8" s="33" t="str">
        <f>INDEX(Translation,MATCH(Setup!B12,TransRef,0),MATCH(Setup!$C$5,LanguageRef,0))</f>
        <v>Mexico</v>
      </c>
      <c r="G8" s="33"/>
      <c r="H8" s="115">
        <v>1</v>
      </c>
      <c r="I8" s="116">
        <v>0</v>
      </c>
      <c r="J8" s="33"/>
      <c r="K8" s="34" t="str">
        <f>INDEX(Translation,MATCH(Setup!B15,TransRef,0),MATCH(Setup!$C$5,LanguageRef,0))</f>
        <v>Jamaica</v>
      </c>
      <c r="L8" s="34"/>
      <c r="M8" s="34"/>
      <c r="N8" s="178" t="s">
        <v>456</v>
      </c>
      <c r="O8" s="7"/>
      <c r="P8" s="38">
        <v>4</v>
      </c>
      <c r="Q8" s="39" t="str">
        <f>INDEX(Calculator!$U$4:$U$7,MATCH(4,Calculator!$BK$4:$BK$7,0),0)</f>
        <v>Canada</v>
      </c>
      <c r="R8" s="38">
        <f>VLOOKUP($Q8,Calculator!$C$4:$K$35,2,FALSE)</f>
        <v>1</v>
      </c>
      <c r="S8" s="38">
        <f>VLOOKUP($Q8,Calculator!$C$4:$K$35,3,FALSE)</f>
        <v>0</v>
      </c>
      <c r="T8" s="38">
        <f>VLOOKUP($Q8,Calculator!$C$4:$K$35,4,FALSE)</f>
        <v>0</v>
      </c>
      <c r="U8" s="38">
        <f>VLOOKUP($Q8,Calculator!$C$4:$K$35,5,FALSE)</f>
        <v>1</v>
      </c>
      <c r="V8" s="38" t="str">
        <f>VLOOKUP($Q8,Calculator!$C$4:$K$35,6,FALSE)&amp;" - "&amp;VLOOKUP($Q8,Calculator!$C$4:$K$35,7,FALSE)</f>
        <v>0 - 2</v>
      </c>
      <c r="W8" s="38">
        <f>VLOOKUP($Q8,Calculator!$C$4:$K$35,9,FALSE)</f>
        <v>0</v>
      </c>
      <c r="X8" s="8"/>
      <c r="Y8" s="71"/>
      <c r="AA8" s="13" t="s">
        <v>80</v>
      </c>
      <c r="AB8" s="2" t="s">
        <v>357</v>
      </c>
      <c r="AC8" s="4"/>
      <c r="AE8" s="5"/>
      <c r="AF8" s="5"/>
      <c r="CO8" s="12"/>
      <c r="CP8" s="12"/>
      <c r="CQ8" s="23"/>
      <c r="CR8" s="12"/>
    </row>
    <row r="9" spans="2:96" s="2" customFormat="1" ht="14.4" customHeight="1" x14ac:dyDescent="0.25">
      <c r="B9" s="24">
        <v>5</v>
      </c>
      <c r="C9" s="13" t="s">
        <v>62</v>
      </c>
      <c r="D9" s="35">
        <f t="shared" si="0"/>
        <v>45466.75</v>
      </c>
      <c r="E9" s="36">
        <f>Calculator!BX11</f>
        <v>45466.75</v>
      </c>
      <c r="F9" s="37" t="str">
        <f>INDEX(Translation,MATCH(Setup!B16,TransRef,0),MATCH(Setup!$C$5,LanguageRef,0))</f>
        <v>United States</v>
      </c>
      <c r="G9" s="37"/>
      <c r="H9" s="115">
        <v>2</v>
      </c>
      <c r="I9" s="116">
        <v>0</v>
      </c>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v>3</v>
      </c>
      <c r="I10" s="116">
        <v>1</v>
      </c>
      <c r="J10" s="33"/>
      <c r="K10" s="34" t="str">
        <f>INDEX(Translation,MATCH(Setup!B18,TransRef,0),MATCH(Setup!$C$5,LanguageRef,0))</f>
        <v>Panama</v>
      </c>
      <c r="L10" s="34"/>
      <c r="M10" s="34"/>
      <c r="N10" s="178" t="s">
        <v>457</v>
      </c>
      <c r="O10" s="7"/>
      <c r="P10" s="217" t="str">
        <f>INDEX(Translation,MATCH("Group B",TransRef,0),MATCH(Setup!$C$5,LanguageRef,0))</f>
        <v>Group B</v>
      </c>
      <c r="Q10" s="217"/>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 customHeight="1" x14ac:dyDescent="0.25">
      <c r="B11" s="24">
        <v>7</v>
      </c>
      <c r="C11" s="13" t="s">
        <v>56</v>
      </c>
      <c r="D11" s="35">
        <f t="shared" si="0"/>
        <v>45467.75</v>
      </c>
      <c r="E11" s="36">
        <f>Calculator!BX13</f>
        <v>45467.75</v>
      </c>
      <c r="F11" s="37" t="str">
        <f>INDEX(Translation,MATCH(Setup!B21,TransRef,0),MATCH(Setup!$C$5,LanguageRef,0))</f>
        <v>Colombia</v>
      </c>
      <c r="G11" s="37"/>
      <c r="H11" s="115"/>
      <c r="I11" s="116"/>
      <c r="J11" s="37"/>
      <c r="K11" s="2" t="str">
        <f>INDEX(Translation,MATCH(Setup!B22,TransRef,0),MATCH(Setup!$C$5,LanguageRef,0))</f>
        <v>Paraguay</v>
      </c>
      <c r="N11" s="179" t="s">
        <v>456</v>
      </c>
      <c r="O11" s="7"/>
      <c r="P11" s="77">
        <v>1</v>
      </c>
      <c r="Q11" s="78" t="str">
        <f>INDEX(Calculator!$U$8:$U$11,MATCH(1,Calculator!$BK$8:$BK$11,0),0)</f>
        <v>Venezuela</v>
      </c>
      <c r="R11" s="77">
        <f>VLOOKUP($Q11,Calculator!$C$4:$K$35,2,FALSE)</f>
        <v>1</v>
      </c>
      <c r="S11" s="77">
        <f>VLOOKUP($Q11,Calculator!$C$4:$K$35,3,FALSE)</f>
        <v>1</v>
      </c>
      <c r="T11" s="77">
        <f>VLOOKUP($Q11,Calculator!$C$4:$K$35,4,FALSE)</f>
        <v>0</v>
      </c>
      <c r="U11" s="77">
        <f>VLOOKUP($Q11,Calculator!$C$4:$K$35,5,FALSE)</f>
        <v>0</v>
      </c>
      <c r="V11" s="77" t="str">
        <f>VLOOKUP($Q11,Calculator!$C$4:$K$35,6,FALSE)&amp;" - "&amp;VLOOKUP($Q11,Calculator!$C$4:$K$35,7,FALSE)</f>
        <v>2 - 1</v>
      </c>
      <c r="W11" s="77">
        <f>VLOOKUP($Q11,Calculator!$C$4:$K$35,9,FALSE)</f>
        <v>3</v>
      </c>
      <c r="X11" s="8"/>
      <c r="Y11" s="71"/>
      <c r="AA11" s="13" t="s">
        <v>80</v>
      </c>
      <c r="AB11" s="2" t="s">
        <v>81</v>
      </c>
      <c r="AC11" s="4"/>
      <c r="AE11" s="5"/>
      <c r="AF11" s="56"/>
      <c r="CO11" s="12"/>
      <c r="CP11" s="12"/>
      <c r="CQ11" s="23"/>
      <c r="CR11" s="12"/>
    </row>
    <row r="12" spans="2:96" s="2" customFormat="1" ht="14.4"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c r="I12" s="116"/>
      <c r="J12" s="33"/>
      <c r="K12" s="34" t="str">
        <f>INDEX(Translation,MATCH(Setup!B23,TransRef,0),MATCH(Setup!$C$5,LanguageRef,0))</f>
        <v>Costa Rica</v>
      </c>
      <c r="L12" s="34"/>
      <c r="M12" s="34"/>
      <c r="N12" s="178" t="s">
        <v>458</v>
      </c>
      <c r="O12" s="7"/>
      <c r="P12" s="77">
        <v>2</v>
      </c>
      <c r="Q12" s="78" t="str">
        <f>INDEX(Calculator!$U$8:$U$11,MATCH(2,Calculator!$BK$8:$BK$11,0),0)</f>
        <v>Mexico</v>
      </c>
      <c r="R12" s="77">
        <f>VLOOKUP($Q12,Calculator!$C$4:$K$35,2,FALSE)</f>
        <v>1</v>
      </c>
      <c r="S12" s="77">
        <f>VLOOKUP($Q12,Calculator!$C$4:$K$35,3,FALSE)</f>
        <v>1</v>
      </c>
      <c r="T12" s="77">
        <f>VLOOKUP($Q12,Calculator!$C$4:$K$35,4,FALSE)</f>
        <v>0</v>
      </c>
      <c r="U12" s="77">
        <f>VLOOKUP($Q12,Calculator!$C$4:$K$35,5,FALSE)</f>
        <v>0</v>
      </c>
      <c r="V12" s="77" t="str">
        <f>VLOOKUP($Q12,Calculator!$C$4:$K$35,6,FALSE)&amp;" - "&amp;VLOOKUP($Q12,Calculator!$C$4:$K$35,7,FALSE)</f>
        <v>1 - 0</v>
      </c>
      <c r="W12" s="77">
        <f>VLOOKUP($Q12,Calculator!$C$4:$K$35,9,FALSE)</f>
        <v>3</v>
      </c>
      <c r="X12" s="8"/>
      <c r="Y12" s="71"/>
      <c r="AA12" s="2" t="s">
        <v>82</v>
      </c>
      <c r="AC12" s="4"/>
      <c r="AE12" s="56"/>
      <c r="AF12" s="56"/>
      <c r="CO12" s="12"/>
      <c r="CP12" s="12"/>
      <c r="CQ12" s="23"/>
      <c r="CR12" s="12"/>
    </row>
    <row r="13" spans="2:96" s="2" customFormat="1" ht="14.4" customHeight="1" x14ac:dyDescent="0.25">
      <c r="B13" s="24">
        <v>9</v>
      </c>
      <c r="C13" s="13" t="s">
        <v>60</v>
      </c>
      <c r="D13" s="35">
        <f t="shared" si="0"/>
        <v>45468.75</v>
      </c>
      <c r="E13" s="36">
        <f>Calculator!BX15</f>
        <v>45468.75</v>
      </c>
      <c r="F13" s="37" t="str">
        <f>F6</f>
        <v>Peru</v>
      </c>
      <c r="G13" s="37"/>
      <c r="H13" s="115"/>
      <c r="I13" s="116"/>
      <c r="J13" s="37"/>
      <c r="K13" s="2" t="str">
        <f>K5</f>
        <v>Canada</v>
      </c>
      <c r="N13" s="179" t="s">
        <v>459</v>
      </c>
      <c r="O13" s="7"/>
      <c r="P13" s="38">
        <v>3</v>
      </c>
      <c r="Q13" s="39" t="str">
        <f>INDEX(Calculator!$U$8:$U$11,MATCH(3,Calculator!$BK$8:$BK$11,0),0)</f>
        <v>Ecuador</v>
      </c>
      <c r="R13" s="38">
        <f>VLOOKUP($Q13,Calculator!$C$4:$K$35,2,FALSE)</f>
        <v>1</v>
      </c>
      <c r="S13" s="38">
        <f>VLOOKUP($Q13,Calculator!$C$4:$K$35,3,FALSE)</f>
        <v>0</v>
      </c>
      <c r="T13" s="38">
        <f>VLOOKUP($Q13,Calculator!$C$4:$K$35,4,FALSE)</f>
        <v>0</v>
      </c>
      <c r="U13" s="38">
        <f>VLOOKUP($Q13,Calculator!$C$4:$K$35,5,FALSE)</f>
        <v>1</v>
      </c>
      <c r="V13" s="38" t="str">
        <f>VLOOKUP($Q13,Calculator!$C$4:$K$35,6,FALSE)&amp;" - "&amp;VLOOKUP($Q13,Calculator!$C$4:$K$35,7,FALSE)</f>
        <v>1 - 2</v>
      </c>
      <c r="W13" s="38">
        <f>VLOOKUP($Q13,Calculator!$C$4:$K$35,9,FALSE)</f>
        <v>0</v>
      </c>
      <c r="X13" s="8"/>
      <c r="Y13" s="71"/>
      <c r="AB13" s="54" t="s">
        <v>83</v>
      </c>
      <c r="AC13" s="55"/>
      <c r="AD13" s="46" t="s">
        <v>355</v>
      </c>
      <c r="AE13" s="56"/>
      <c r="AF13" s="56"/>
      <c r="CO13" s="12"/>
      <c r="CP13" s="12"/>
      <c r="CQ13" s="23"/>
      <c r="CR13" s="12"/>
    </row>
    <row r="14" spans="2:96" s="2" customFormat="1" ht="14.4" customHeight="1" x14ac:dyDescent="0.25">
      <c r="B14" s="24">
        <v>10</v>
      </c>
      <c r="C14" s="30" t="s">
        <v>60</v>
      </c>
      <c r="D14" s="31">
        <f t="shared" si="0"/>
        <v>45468.875</v>
      </c>
      <c r="E14" s="32">
        <f>Calculator!BX16</f>
        <v>45468.875</v>
      </c>
      <c r="F14" s="33" t="str">
        <f>K6</f>
        <v>Chile</v>
      </c>
      <c r="G14" s="33"/>
      <c r="H14" s="115"/>
      <c r="I14" s="116"/>
      <c r="J14" s="33"/>
      <c r="K14" s="34" t="str">
        <f>F5</f>
        <v>Argentina</v>
      </c>
      <c r="L14" s="34"/>
      <c r="M14" s="34"/>
      <c r="N14" s="178" t="s">
        <v>460</v>
      </c>
      <c r="O14" s="7"/>
      <c r="P14" s="38">
        <v>4</v>
      </c>
      <c r="Q14" s="39" t="str">
        <f>INDEX(Calculator!$U$8:$U$11,MATCH(4,Calculator!$BK$8:$BK$11,0),0)</f>
        <v>Jamaica</v>
      </c>
      <c r="R14" s="38">
        <f>VLOOKUP($Q14,Calculator!$C$4:$K$35,2,FALSE)</f>
        <v>1</v>
      </c>
      <c r="S14" s="38">
        <f>VLOOKUP($Q14,Calculator!$C$4:$K$35,3,FALSE)</f>
        <v>0</v>
      </c>
      <c r="T14" s="38">
        <f>VLOOKUP($Q14,Calculator!$C$4:$K$35,4,FALSE)</f>
        <v>0</v>
      </c>
      <c r="U14" s="38">
        <f>VLOOKUP($Q14,Calculator!$C$4:$K$35,5,FALSE)</f>
        <v>1</v>
      </c>
      <c r="V14" s="38" t="str">
        <f>VLOOKUP($Q14,Calculator!$C$4:$K$35,6,FALSE)&amp;" - "&amp;VLOOKUP($Q14,Calculator!$C$4:$K$35,7,FALSE)</f>
        <v>0 - 1</v>
      </c>
      <c r="W14" s="38">
        <f>VLOOKUP($Q14,Calculator!$C$4:$K$35,9,FALSE)</f>
        <v>0</v>
      </c>
      <c r="X14" s="8"/>
      <c r="Y14" s="71"/>
      <c r="AB14" s="60" t="s">
        <v>83</v>
      </c>
      <c r="AC14" s="55"/>
      <c r="AD14" s="46" t="s">
        <v>360</v>
      </c>
      <c r="AE14" s="56"/>
      <c r="CO14" s="12"/>
      <c r="CP14" s="12"/>
      <c r="CQ14" s="23"/>
      <c r="CR14" s="12"/>
    </row>
    <row r="15" spans="2:96" s="2" customFormat="1" ht="14.4" customHeight="1" x14ac:dyDescent="0.3">
      <c r="B15" s="24">
        <v>11</v>
      </c>
      <c r="C15" s="13" t="s">
        <v>61</v>
      </c>
      <c r="D15" s="35">
        <f t="shared" si="0"/>
        <v>45469.75</v>
      </c>
      <c r="E15" s="36">
        <f>Calculator!BX17</f>
        <v>45469.75</v>
      </c>
      <c r="F15" s="37" t="str">
        <f>F7</f>
        <v>Ecuador</v>
      </c>
      <c r="G15" s="37"/>
      <c r="H15" s="115"/>
      <c r="I15" s="116"/>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 customHeight="1" x14ac:dyDescent="0.25">
      <c r="B16" s="24">
        <v>12</v>
      </c>
      <c r="C16" s="30" t="s">
        <v>61</v>
      </c>
      <c r="D16" s="31">
        <f t="shared" si="0"/>
        <v>45469.791666666664</v>
      </c>
      <c r="E16" s="32">
        <f>Calculator!BX18</f>
        <v>45469.791666666664</v>
      </c>
      <c r="F16" s="33" t="str">
        <f>K7</f>
        <v>Venezuela</v>
      </c>
      <c r="G16" s="33"/>
      <c r="H16" s="115"/>
      <c r="I16" s="116"/>
      <c r="J16" s="33"/>
      <c r="K16" s="34" t="str">
        <f>F8</f>
        <v>Mexico</v>
      </c>
      <c r="L16" s="34"/>
      <c r="M16" s="34"/>
      <c r="N16" s="178" t="s">
        <v>458</v>
      </c>
      <c r="O16" s="7"/>
      <c r="P16" s="217" t="str">
        <f>INDEX(Translation,MATCH("Group C",TransRef,0),MATCH(Setup!$C$5,LanguageRef,0))</f>
        <v>Group C</v>
      </c>
      <c r="Q16" s="217"/>
      <c r="R16" s="147" t="s">
        <v>54</v>
      </c>
      <c r="S16" s="147" t="s">
        <v>55</v>
      </c>
      <c r="T16" s="147" t="s">
        <v>56</v>
      </c>
      <c r="U16" s="147" t="s">
        <v>57</v>
      </c>
      <c r="V16" s="147" t="s">
        <v>58</v>
      </c>
      <c r="W16" s="147" t="s">
        <v>59</v>
      </c>
      <c r="X16" s="8"/>
      <c r="Y16" s="71"/>
      <c r="CO16" s="12"/>
      <c r="CP16" s="12"/>
      <c r="CQ16" s="23"/>
      <c r="CR16" s="12"/>
    </row>
    <row r="17" spans="1:96" s="2" customFormat="1" ht="14.4"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Uruguay</v>
      </c>
      <c r="R17" s="79">
        <f>VLOOKUP($Q17,Calculator!$C$4:$K$35,2,FALSE)</f>
        <v>1</v>
      </c>
      <c r="S17" s="79">
        <f>VLOOKUP($Q17,Calculator!$C$4:$K$35,3,FALSE)</f>
        <v>1</v>
      </c>
      <c r="T17" s="79">
        <f>VLOOKUP($Q17,Calculator!$C$4:$K$35,4,FALSE)</f>
        <v>0</v>
      </c>
      <c r="U17" s="79">
        <f>VLOOKUP($Q17,Calculator!$C$4:$K$35,5,FALSE)</f>
        <v>0</v>
      </c>
      <c r="V17" s="79" t="str">
        <f>VLOOKUP($Q17,Calculator!$C$4:$K$35,6,FALSE)&amp;" - "&amp;VLOOKUP($Q17,Calculator!$C$4:$K$35,7,FALSE)</f>
        <v>3 - 1</v>
      </c>
      <c r="W17" s="79">
        <f>VLOOKUP($Q17,Calculator!$C$4:$K$35,9,FALSE)</f>
        <v>3</v>
      </c>
      <c r="X17" s="8"/>
      <c r="Y17" s="71"/>
      <c r="CO17" s="12"/>
      <c r="CP17" s="12"/>
      <c r="CQ17" s="23"/>
      <c r="CR17" s="12"/>
    </row>
    <row r="18" spans="1:96" s="2" customFormat="1" ht="14.4"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United States</v>
      </c>
      <c r="R18" s="79">
        <f>VLOOKUP($Q18,Calculator!$C$4:$K$35,2,FALSE)</f>
        <v>1</v>
      </c>
      <c r="S18" s="79">
        <f>VLOOKUP($Q18,Calculator!$C$4:$K$35,3,FALSE)</f>
        <v>1</v>
      </c>
      <c r="T18" s="79">
        <f>VLOOKUP($Q18,Calculator!$C$4:$K$35,4,FALSE)</f>
        <v>0</v>
      </c>
      <c r="U18" s="79">
        <f>VLOOKUP($Q18,Calculator!$C$4:$K$35,5,FALSE)</f>
        <v>0</v>
      </c>
      <c r="V18" s="79" t="str">
        <f>VLOOKUP($Q18,Calculator!$C$4:$K$35,6,FALSE)&amp;" - "&amp;VLOOKUP($Q18,Calculator!$C$4:$K$35,7,FALSE)</f>
        <v>2 - 0</v>
      </c>
      <c r="W18" s="79">
        <f>VLOOKUP($Q18,Calculator!$C$4:$K$35,9,FALSE)</f>
        <v>3</v>
      </c>
      <c r="X18" s="8"/>
      <c r="Y18" s="71"/>
      <c r="CO18" s="12"/>
      <c r="CP18" s="12"/>
      <c r="CQ18" s="23"/>
      <c r="CR18" s="12"/>
    </row>
    <row r="19" spans="1:96" s="2" customFormat="1" ht="14.4"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1</v>
      </c>
      <c r="S19" s="38">
        <f>VLOOKUP($Q19,Calculator!$C$4:$K$35,3,FALSE)</f>
        <v>0</v>
      </c>
      <c r="T19" s="38">
        <f>VLOOKUP($Q19,Calculator!$C$4:$K$35,4,FALSE)</f>
        <v>0</v>
      </c>
      <c r="U19" s="38">
        <f>VLOOKUP($Q19,Calculator!$C$4:$K$35,5,FALSE)</f>
        <v>1</v>
      </c>
      <c r="V19" s="38" t="str">
        <f>VLOOKUP($Q19,Calculator!$C$4:$K$35,6,FALSE)&amp;" - "&amp;VLOOKUP($Q19,Calculator!$C$4:$K$35,7,FALSE)</f>
        <v>1 - 3</v>
      </c>
      <c r="W19" s="38">
        <f>VLOOKUP($Q19,Calculator!$C$4:$K$35,9,FALSE)</f>
        <v>0</v>
      </c>
      <c r="X19" s="8"/>
      <c r="Y19" s="71"/>
      <c r="CO19" s="12"/>
      <c r="CP19" s="12"/>
      <c r="CQ19" s="23"/>
      <c r="CR19" s="12"/>
    </row>
    <row r="20" spans="1:96" s="2" customFormat="1" ht="14.4"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1</v>
      </c>
      <c r="S20" s="38">
        <f>VLOOKUP($Q20,Calculator!$C$4:$K$35,3,FALSE)</f>
        <v>0</v>
      </c>
      <c r="T20" s="38">
        <f>VLOOKUP($Q20,Calculator!$C$4:$K$35,4,FALSE)</f>
        <v>0</v>
      </c>
      <c r="U20" s="38">
        <f>VLOOKUP($Q20,Calculator!$C$4:$K$35,5,FALSE)</f>
        <v>1</v>
      </c>
      <c r="V20" s="38" t="str">
        <f>VLOOKUP($Q20,Calculator!$C$4:$K$35,6,FALSE)&amp;" - "&amp;VLOOKUP($Q20,Calculator!$C$4:$K$35,7,FALSE)</f>
        <v>0 - 2</v>
      </c>
      <c r="W20" s="38">
        <f>VLOOKUP($Q20,Calculator!$C$4:$K$35,9,FALSE)</f>
        <v>0</v>
      </c>
      <c r="X20" s="8"/>
      <c r="Y20" s="71"/>
      <c r="CO20" s="12"/>
      <c r="CP20" s="12"/>
      <c r="CQ20" s="23"/>
      <c r="CR20" s="12"/>
    </row>
    <row r="21" spans="1:96" s="2" customFormat="1" ht="14.4"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17" t="str">
        <f>INDEX(Translation,MATCH("Group D",TransRef,0),MATCH(Setup!$C$5,LanguageRef,0))</f>
        <v>Group D</v>
      </c>
      <c r="Q22" s="217"/>
      <c r="R22" s="147" t="s">
        <v>54</v>
      </c>
      <c r="S22" s="147" t="s">
        <v>55</v>
      </c>
      <c r="T22" s="147" t="s">
        <v>56</v>
      </c>
      <c r="U22" s="147" t="s">
        <v>57</v>
      </c>
      <c r="V22" s="147" t="s">
        <v>58</v>
      </c>
      <c r="W22" s="147" t="s">
        <v>59</v>
      </c>
      <c r="X22" s="8"/>
      <c r="Y22" s="71"/>
      <c r="CO22" s="12"/>
      <c r="CP22" s="12"/>
      <c r="CQ22" s="23"/>
      <c r="CR22" s="12"/>
    </row>
    <row r="23" spans="1:96" s="2" customFormat="1" ht="14.4"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Brazil</v>
      </c>
      <c r="R23" s="81">
        <f>VLOOKUP($Q23,Calculator!$C$4:$K$35,2,FALSE)</f>
        <v>0</v>
      </c>
      <c r="S23" s="81">
        <f>VLOOKUP($Q23,Calculator!$C$4:$K$35,3,FALSE)</f>
        <v>0</v>
      </c>
      <c r="T23" s="81">
        <f>VLOOKUP($Q23,Calculator!$C$4:$K$35,4,FALSE)</f>
        <v>0</v>
      </c>
      <c r="U23" s="81">
        <f>VLOOKUP($Q23,Calculator!$C$4:$K$35,5,FALSE)</f>
        <v>0</v>
      </c>
      <c r="V23" s="81" t="str">
        <f>VLOOKUP($Q23,Calculator!$C$4:$K$35,6,FALSE)&amp;" - "&amp;VLOOKUP($Q23,Calculator!$C$4:$K$35,7,FALSE)</f>
        <v>0 - 0</v>
      </c>
      <c r="W23" s="81">
        <f>VLOOKUP($Q23,Calculator!$C$4:$K$35,9,FALSE)</f>
        <v>0</v>
      </c>
      <c r="X23" s="8"/>
      <c r="Y23" s="71"/>
      <c r="CO23" s="12"/>
      <c r="CP23" s="12"/>
      <c r="CQ23" s="23"/>
      <c r="CR23" s="12"/>
    </row>
    <row r="24" spans="1:96" s="2" customFormat="1" ht="14.4"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Colombia</v>
      </c>
      <c r="R24" s="81">
        <f>VLOOKUP($Q24,Calculator!$C$4:$K$35,2,FALSE)</f>
        <v>0</v>
      </c>
      <c r="S24" s="81">
        <f>VLOOKUP($Q24,Calculator!$C$4:$K$35,3,FALSE)</f>
        <v>0</v>
      </c>
      <c r="T24" s="81">
        <f>VLOOKUP($Q24,Calculator!$C$4:$K$35,4,FALSE)</f>
        <v>0</v>
      </c>
      <c r="U24" s="81">
        <f>VLOOKUP($Q24,Calculator!$C$4:$K$35,5,FALSE)</f>
        <v>0</v>
      </c>
      <c r="V24" s="81" t="str">
        <f>VLOOKUP($Q24,Calculator!$C$4:$K$35,6,FALSE)&amp;" - "&amp;VLOOKUP($Q24,Calculator!$C$4:$K$35,7,FALSE)</f>
        <v>0 - 0</v>
      </c>
      <c r="W24" s="81">
        <f>VLOOKUP($Q24,Calculator!$C$4:$K$35,9,FALSE)</f>
        <v>0</v>
      </c>
      <c r="X24" s="8"/>
      <c r="Y24" s="71"/>
      <c r="CO24" s="12"/>
      <c r="CP24" s="12"/>
      <c r="CQ24" s="23"/>
      <c r="CR24" s="12"/>
    </row>
    <row r="25" spans="1:96" s="2" customFormat="1" ht="14.4"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0</v>
      </c>
      <c r="S25" s="38">
        <f>VLOOKUP($Q25,Calculator!$C$4:$K$35,3,FALSE)</f>
        <v>0</v>
      </c>
      <c r="T25" s="38">
        <f>VLOOKUP($Q25,Calculator!$C$4:$K$35,4,FALSE)</f>
        <v>0</v>
      </c>
      <c r="U25" s="38">
        <f>VLOOKUP($Q25,Calculator!$C$4:$K$35,5,FALSE)</f>
        <v>0</v>
      </c>
      <c r="V25" s="38" t="str">
        <f>VLOOKUP($Q25,Calculator!$C$4:$K$35,6,FALSE)&amp;" - "&amp;VLOOKUP($Q25,Calculator!$C$4:$K$35,7,FALSE)</f>
        <v>0 - 0</v>
      </c>
      <c r="W25" s="38">
        <f>VLOOKUP($Q25,Calculator!$C$4:$K$35,9,FALSE)</f>
        <v>0</v>
      </c>
      <c r="X25" s="8"/>
      <c r="Y25" s="71"/>
      <c r="CO25" s="12"/>
      <c r="CP25" s="12"/>
      <c r="CQ25" s="23"/>
      <c r="CR25" s="12"/>
    </row>
    <row r="26" spans="1:96" s="2" customFormat="1" ht="14.4"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0</v>
      </c>
      <c r="S26" s="38">
        <f>VLOOKUP($Q26,Calculator!$C$4:$K$35,3,FALSE)</f>
        <v>0</v>
      </c>
      <c r="T26" s="38">
        <f>VLOOKUP($Q26,Calculator!$C$4:$K$35,4,FALSE)</f>
        <v>0</v>
      </c>
      <c r="U26" s="38">
        <f>VLOOKUP($Q26,Calculator!$C$4:$K$35,5,FALSE)</f>
        <v>0</v>
      </c>
      <c r="V26" s="38" t="str">
        <f>VLOOKUP($Q26,Calculator!$C$4:$K$35,6,FALSE)&amp;" - "&amp;VLOOKUP($Q26,Calculator!$C$4:$K$35,7,FALSE)</f>
        <v>0 - 0</v>
      </c>
      <c r="W26" s="38">
        <f>VLOOKUP($Q26,Calculator!$C$4:$K$35,9,FALSE)</f>
        <v>0</v>
      </c>
      <c r="X26" s="8"/>
      <c r="Y26" s="71"/>
      <c r="CO26" s="12"/>
      <c r="CP26" s="12"/>
      <c r="CQ26" s="23"/>
      <c r="CR26" s="12"/>
    </row>
    <row r="27" spans="1:96" s="2" customFormat="1" ht="14.4"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 customHeight="1" x14ac:dyDescent="0.25">
      <c r="B29" s="148" t="str">
        <f>INDEX(Translation,MATCH("Knock Out Rounds",TransRef,0),MATCH(Setup!C5,LanguageRef,0))</f>
        <v>Knock Out Rounds</v>
      </c>
      <c r="C29" s="149"/>
      <c r="D29" s="150"/>
      <c r="E29" s="151"/>
      <c r="F29" s="152"/>
      <c r="G29" s="152"/>
      <c r="H29" s="153"/>
      <c r="I29" s="153"/>
      <c r="J29" s="152"/>
      <c r="K29" s="154"/>
      <c r="L29" s="220" t="s">
        <v>67</v>
      </c>
      <c r="M29" s="220"/>
      <c r="N29" s="180"/>
      <c r="X29" s="8"/>
      <c r="Y29" s="71"/>
      <c r="CO29" s="12"/>
      <c r="CP29" s="12"/>
      <c r="CQ29" s="23"/>
      <c r="CR29" s="12"/>
    </row>
    <row r="30" spans="1:96" s="2" customFormat="1" ht="14.4" customHeight="1" x14ac:dyDescent="0.25">
      <c r="B30" s="43">
        <v>25</v>
      </c>
      <c r="C30" s="223"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 customHeight="1" x14ac:dyDescent="0.25">
      <c r="A31" s="46"/>
      <c r="B31" s="43">
        <v>26</v>
      </c>
      <c r="C31" s="224"/>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 customHeight="1" x14ac:dyDescent="0.25">
      <c r="A32" s="46"/>
      <c r="B32" s="43">
        <v>27</v>
      </c>
      <c r="C32" s="224"/>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 customHeight="1" x14ac:dyDescent="0.25">
      <c r="A33" s="46"/>
      <c r="B33" s="45">
        <v>28</v>
      </c>
      <c r="C33" s="224"/>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 customHeight="1" x14ac:dyDescent="0.25">
      <c r="A34" s="46"/>
      <c r="B34" s="42">
        <v>29</v>
      </c>
      <c r="C34" s="225"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 customHeight="1" x14ac:dyDescent="0.25">
      <c r="A35" s="46"/>
      <c r="B35" s="45">
        <v>30</v>
      </c>
      <c r="C35" s="225"/>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 customHeight="1" x14ac:dyDescent="0.25">
      <c r="B39" s="222" t="str">
        <f>UPPER(INDEX(Translation,MATCH("Copa America 2024 Champion",TransRef,0),MATCH(Setup!$C$5,LanguageRef,0)))</f>
        <v>COPA AMERICA 2024 CHAMPION</v>
      </c>
      <c r="C39" s="222"/>
      <c r="D39" s="222"/>
      <c r="E39" s="222"/>
      <c r="F39" s="222"/>
      <c r="G39" s="222"/>
      <c r="H39" s="222"/>
      <c r="I39" s="222"/>
      <c r="J39" s="222"/>
      <c r="K39" s="222"/>
      <c r="L39" s="222"/>
      <c r="M39" s="222"/>
      <c r="N39" s="222"/>
      <c r="O39" s="2"/>
      <c r="P39" s="218" t="str">
        <f>INDEX(Translation,MATCH("Second Place",TransRef,0),MATCH(Setup!$C$5,LanguageRef,0))</f>
        <v>Second place</v>
      </c>
      <c r="Q39" s="218"/>
      <c r="R39" s="218"/>
      <c r="S39" s="218"/>
      <c r="T39" s="218"/>
      <c r="U39" s="218"/>
      <c r="V39" s="218"/>
      <c r="W39" s="218"/>
      <c r="X39" s="8"/>
      <c r="Y39" s="71"/>
    </row>
    <row r="40" spans="1:96" ht="14.4" customHeight="1" x14ac:dyDescent="0.25">
      <c r="B40" s="222"/>
      <c r="C40" s="222"/>
      <c r="D40" s="222"/>
      <c r="E40" s="222"/>
      <c r="F40" s="222"/>
      <c r="G40" s="222"/>
      <c r="H40" s="222"/>
      <c r="I40" s="222"/>
      <c r="J40" s="222"/>
      <c r="K40" s="222"/>
      <c r="L40" s="222"/>
      <c r="M40" s="222"/>
      <c r="N40" s="222"/>
      <c r="O40" s="53"/>
      <c r="P40" s="219" t="str">
        <f>UPPER(IF(AND(H37&lt;&gt;"",I37&lt;&gt;""),IF((H37+L37)&lt;(I37+M37),F37,IF((H37+L37)&gt;(I37+M37),K37,INDEX(Translation,MATCH("Copa America 2024 Runner Up",TransRef,0),MATCH(Setup!C5,LanguageRef,0)))),INDEX(Translation,MATCH("Copa America 2024 Runner Up",TransRef,0),MATCH(Setup!C5,LanguageRef,0))))</f>
        <v>COPA AMERICA 2024 RUNNER UP</v>
      </c>
      <c r="Q40" s="219"/>
      <c r="R40" s="219"/>
      <c r="S40" s="219"/>
      <c r="T40" s="219"/>
      <c r="U40" s="219"/>
      <c r="V40" s="219"/>
      <c r="W40" s="219"/>
      <c r="X40" s="8"/>
      <c r="Y40" s="71"/>
    </row>
    <row r="41" spans="1:96" ht="14.4" customHeight="1" x14ac:dyDescent="0.25">
      <c r="B41" s="222"/>
      <c r="C41" s="222"/>
      <c r="D41" s="222"/>
      <c r="E41" s="222"/>
      <c r="F41" s="222"/>
      <c r="G41" s="222"/>
      <c r="H41" s="222"/>
      <c r="I41" s="222"/>
      <c r="J41" s="222"/>
      <c r="K41" s="222"/>
      <c r="L41" s="222"/>
      <c r="M41" s="222"/>
      <c r="N41" s="222"/>
      <c r="O41" s="2"/>
      <c r="P41" s="219"/>
      <c r="Q41" s="219"/>
      <c r="R41" s="219"/>
      <c r="S41" s="219"/>
      <c r="T41" s="219"/>
      <c r="U41" s="219"/>
      <c r="V41" s="219"/>
      <c r="W41" s="219"/>
      <c r="X41" s="8"/>
      <c r="Y41" s="71"/>
    </row>
    <row r="42" spans="1:96" ht="14.4" customHeight="1" x14ac:dyDescent="0.25">
      <c r="B42" s="221" t="str">
        <f>UPPER(IF(AND(H37&lt;&gt;"",I37&lt;&gt;""),IF((H37+L37)&gt;(I37+M37),F37,IF((H37+L37)&lt;(I37+M37),K37,INDEX(Translation,MATCH("Copa America 2024 Champion",TransRef,0),MATCH(Setup!C5,LanguageRef,0)))),INDEX(Translation,MATCH("Copa America 2024 Champion",TransRef,0),MATCH(Setup!C5,LanguageRef,0))))</f>
        <v>COPA AMERICA 2024 CHAMPION</v>
      </c>
      <c r="C42" s="221"/>
      <c r="D42" s="221"/>
      <c r="E42" s="221"/>
      <c r="F42" s="221"/>
      <c r="G42" s="221"/>
      <c r="H42" s="221"/>
      <c r="I42" s="221"/>
      <c r="J42" s="221"/>
      <c r="K42" s="221"/>
      <c r="L42" s="221"/>
      <c r="M42" s="221"/>
      <c r="N42" s="221"/>
      <c r="O42" s="2"/>
      <c r="P42" s="218" t="str">
        <f>INDEX(Translation,MATCH("Third Place",TransRef,0),MATCH(Setup!$C$5,LanguageRef,0))</f>
        <v>Third Place</v>
      </c>
      <c r="Q42" s="218"/>
      <c r="R42" s="218"/>
      <c r="S42" s="218"/>
      <c r="T42" s="218"/>
      <c r="U42" s="218"/>
      <c r="V42" s="218"/>
      <c r="W42" s="218"/>
      <c r="X42" s="8"/>
      <c r="Y42" s="71"/>
    </row>
    <row r="43" spans="1:96" ht="14.4" customHeight="1" x14ac:dyDescent="0.25">
      <c r="B43" s="221"/>
      <c r="C43" s="221"/>
      <c r="D43" s="221"/>
      <c r="E43" s="221"/>
      <c r="F43" s="221"/>
      <c r="G43" s="221"/>
      <c r="H43" s="221"/>
      <c r="I43" s="221"/>
      <c r="J43" s="221"/>
      <c r="K43" s="221"/>
      <c r="L43" s="221"/>
      <c r="M43" s="221"/>
      <c r="N43" s="221"/>
      <c r="O43" s="2"/>
      <c r="P43" s="219" t="str">
        <f>UPPER(IF(AND(H36&lt;&gt;"",I36&lt;&gt;""),IF((H36+L36)&gt;(I36+M36),F36,IF((H36+L36)&lt;(I36+M36),K36,INDEX(Translation,MATCH("Copa America 2024 3rd Place",TransRef,0),MATCH(Setup!C5,LanguageRef,0)))),INDEX(Translation,MATCH("Copa America 2024 3rd Place",TransRef,0),MATCH(Setup!C5,LanguageRef,0))))</f>
        <v>COPA AMERICA 2024 3RD PLACE</v>
      </c>
      <c r="Q43" s="219"/>
      <c r="R43" s="219"/>
      <c r="S43" s="219"/>
      <c r="T43" s="219"/>
      <c r="U43" s="219"/>
      <c r="V43" s="219"/>
      <c r="W43" s="219"/>
      <c r="X43" s="8"/>
      <c r="Y43" s="71"/>
    </row>
    <row r="44" spans="1:96" ht="14.4" customHeight="1" x14ac:dyDescent="0.25">
      <c r="B44" s="221"/>
      <c r="C44" s="221"/>
      <c r="D44" s="221"/>
      <c r="E44" s="221"/>
      <c r="F44" s="221"/>
      <c r="G44" s="221"/>
      <c r="H44" s="221"/>
      <c r="I44" s="221"/>
      <c r="J44" s="221"/>
      <c r="K44" s="221"/>
      <c r="L44" s="221"/>
      <c r="M44" s="221"/>
      <c r="N44" s="221"/>
      <c r="P44" s="219"/>
      <c r="Q44" s="219"/>
      <c r="R44" s="219"/>
      <c r="S44" s="219"/>
      <c r="T44" s="219"/>
      <c r="U44" s="219"/>
      <c r="V44" s="219"/>
      <c r="W44" s="219"/>
      <c r="X44" s="8"/>
      <c r="Y44" s="71"/>
    </row>
    <row r="45" spans="1:96" ht="14.4" customHeight="1" x14ac:dyDescent="0.25">
      <c r="B45" s="7" t="s">
        <v>78</v>
      </c>
      <c r="X45" s="8"/>
      <c r="Y45" s="71"/>
    </row>
    <row r="46" spans="1:96" ht="14.4"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65" customHeight="1" x14ac:dyDescent="0.25"/>
    <row r="58" spans="24:25" ht="28.65"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2:Q22"/>
    <mergeCell ref="P42:W42"/>
    <mergeCell ref="P43:W44"/>
    <mergeCell ref="L29:M29"/>
    <mergeCell ref="P40:W41"/>
    <mergeCell ref="P39:W39"/>
    <mergeCell ref="B42:N44"/>
    <mergeCell ref="B39:N41"/>
    <mergeCell ref="C30:C33"/>
    <mergeCell ref="C34:C35"/>
    <mergeCell ref="P2:W2"/>
    <mergeCell ref="H3:I3"/>
    <mergeCell ref="P4:Q4"/>
    <mergeCell ref="P10:Q10"/>
    <mergeCell ref="P16:Q16"/>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hyperlink ref="P2:W2" location="About!A1" display="Click here to purchase the Unprotected Version for your Commercial Purposes"/>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A152"/>
  <sheetViews>
    <sheetView showGridLines="0" zoomScaleNormal="100" workbookViewId="0">
      <selection activeCell="J2" sqref="J2"/>
    </sheetView>
  </sheetViews>
  <sheetFormatPr defaultColWidth="9.109375" defaultRowHeight="13.8" x14ac:dyDescent="0.25"/>
  <cols>
    <col min="1" max="1" width="5.88671875" style="22" bestFit="1" customWidth="1"/>
    <col min="2" max="2" width="2.33203125" style="22" bestFit="1" customWidth="1"/>
    <col min="3" max="3" width="12.6640625" style="22" bestFit="1" customWidth="1"/>
    <col min="4" max="7" width="6" style="22" bestFit="1" customWidth="1"/>
    <col min="8" max="9" width="2.33203125" style="22" bestFit="1" customWidth="1"/>
    <col min="10" max="10" width="3.44140625" style="22" customWidth="1"/>
    <col min="11" max="11" width="2.33203125" style="22" bestFit="1" customWidth="1"/>
    <col min="12" max="13" width="5.88671875" style="22" bestFit="1" customWidth="1"/>
    <col min="14" max="20" width="2.33203125" style="22" bestFit="1" customWidth="1"/>
    <col min="21" max="21" width="12.6640625" style="22" bestFit="1" customWidth="1"/>
    <col min="22" max="22" width="2.33203125" style="22" bestFit="1" customWidth="1"/>
    <col min="23" max="23" width="12.6640625" style="22" bestFit="1" customWidth="1"/>
    <col min="24" max="24" width="6.5546875" style="22" customWidth="1"/>
    <col min="25" max="25" width="9.109375" style="22"/>
    <col min="26" max="31" width="2.33203125" style="22" bestFit="1" customWidth="1"/>
    <col min="32" max="32" width="2.88671875" style="22" customWidth="1"/>
    <col min="33" max="48" width="2.33203125" style="22" bestFit="1" customWidth="1"/>
    <col min="49" max="49" width="1.88671875" style="22" bestFit="1" customWidth="1"/>
    <col min="50" max="63" width="2.33203125" style="22" bestFit="1" customWidth="1"/>
    <col min="64" max="64" width="9.109375" style="22"/>
    <col min="65" max="65" width="9.88671875" style="189" customWidth="1"/>
    <col min="66" max="66" width="3.33203125" style="189" customWidth="1"/>
    <col min="67" max="67" width="23" style="189" customWidth="1"/>
    <col min="68" max="68" width="30.88671875" style="189" customWidth="1"/>
    <col min="69" max="69" width="40.88671875" style="189" customWidth="1"/>
    <col min="70" max="70" width="4.6640625" style="189" bestFit="1" customWidth="1"/>
    <col min="71" max="71" width="9.33203125" style="189" bestFit="1" customWidth="1"/>
    <col min="72" max="72" width="13.5546875" style="189" customWidth="1"/>
    <col min="73" max="74" width="9.44140625" style="189" bestFit="1" customWidth="1"/>
    <col min="75" max="76" width="13.5546875" style="189" bestFit="1" customWidth="1"/>
    <col min="77" max="77" width="9.44140625" style="189" bestFit="1" customWidth="1"/>
    <col min="78" max="79" width="9.109375" style="189"/>
    <col min="80" max="16384" width="9.109375" style="22"/>
  </cols>
  <sheetData>
    <row r="4" spans="1:78" x14ac:dyDescent="0.25">
      <c r="A4" s="22">
        <f>INDEX(M4:M35,MATCH(U4,C4:C35,0),0)</f>
        <v>1862</v>
      </c>
      <c r="B4" s="22">
        <v>1</v>
      </c>
      <c r="C4" s="22" t="str">
        <f>BZ7</f>
        <v>Argentina</v>
      </c>
      <c r="D4" s="22">
        <f>SUM(E4:G4)</f>
        <v>1</v>
      </c>
      <c r="E4" s="22">
        <f>SUMPRODUCT((Matches!H5:H28&lt;&gt;"")*(Matches!F5:F28=C4)*(Matches!H5:H28&gt;Matches!I5:I28)*1)+SUMPRODUCT((Matches!H5:H28&lt;&gt;"")*(Matches!K5:K28=C4)*(Matches!I5:I28&gt;Matches!H5:H28)*1)</f>
        <v>1</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2</v>
      </c>
      <c r="I4" s="22">
        <f>SUMIF(Matches!F5:F28,C4,Matches!I5:I28)+SUMIF(Matches!K5:K28,C4,Matches!H5:H28)</f>
        <v>0</v>
      </c>
      <c r="J4" s="22">
        <f>H4-I4</f>
        <v>2</v>
      </c>
      <c r="K4" s="22">
        <f>F4*1+E4*3</f>
        <v>3</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0</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0</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1533</v>
      </c>
      <c r="B5" s="22">
        <v>2</v>
      </c>
      <c r="C5" s="22" t="str">
        <f t="shared" ref="C5:C19" si="1">BZ8</f>
        <v>Peru</v>
      </c>
      <c r="D5" s="22">
        <f t="shared" ref="D5:D19" si="2">SUM(E5:G5)</f>
        <v>1</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1</v>
      </c>
      <c r="G5" s="22">
        <f>SUMPRODUCT((Matches!H5:H28&lt;&gt;"")*(Matches!F5:F28=C5)*(Matches!H5:H28&lt;Matches!I5:I28)*1)+SUMPRODUCT((Matches!H5:H28&lt;&gt;"")*(Matches!K5:K28=C5)*(Matches!I5:I28&lt;Matches!H5:H28)*1)</f>
        <v>0</v>
      </c>
      <c r="H5" s="22">
        <f>SUMIF(Matches!F5:F28,C5,Matches!H5:H28)+SUMIF(Matches!K5:K28,C5,Matches!I5:I28)</f>
        <v>0</v>
      </c>
      <c r="I5" s="22">
        <f>SUMIF(Matches!F5:F28,C5,Matches!I5:I28)+SUMIF(Matches!K5:K28,C5,Matches!H5:H28)</f>
        <v>0</v>
      </c>
      <c r="J5" s="22">
        <f t="shared" ref="J5:J19" si="3">H5-I5</f>
        <v>0</v>
      </c>
      <c r="K5" s="22">
        <f t="shared" ref="K5:K19" si="4">F5*1+E5*3</f>
        <v>1</v>
      </c>
      <c r="L5" s="22">
        <f>Setup!E9</f>
        <v>1533</v>
      </c>
      <c r="M5" s="22">
        <f>IF(Setup!F9&lt;&gt;"",-Setup!F9,Setup!E9)</f>
        <v>1533</v>
      </c>
      <c r="N5" s="22">
        <f>RANK(K5,K4:K7)</f>
        <v>2</v>
      </c>
      <c r="O5" s="22">
        <f>SUMPRODUCT((N4:N7=N5)*(J4:J7&gt;J5)*1)</f>
        <v>0</v>
      </c>
      <c r="P5" s="22">
        <f t="shared" ref="P5:P19" si="5">N5+O5</f>
        <v>2</v>
      </c>
      <c r="Q5" s="22">
        <f>SUMPRODUCT((N4:N7=N5)*(J4:J7=J5)*(H4:H7&gt;H5)*1)</f>
        <v>0</v>
      </c>
      <c r="R5" s="22">
        <f t="shared" ref="R5:R19" si="6">P5+Q5</f>
        <v>2</v>
      </c>
      <c r="S5" s="22">
        <f>RANK(R5,R4:R7,1)+COUNTIF(R4:R5,R5)-1</f>
        <v>2</v>
      </c>
      <c r="T5" s="22">
        <v>2</v>
      </c>
      <c r="U5" s="22" t="str">
        <f>INDEX(C4:C7,MATCH(T5,S4:S7,0),0)</f>
        <v>Peru</v>
      </c>
      <c r="V5" s="22">
        <f>INDEX(R4:R7,MATCH(U5,C4:C7,0),0)</f>
        <v>2</v>
      </c>
      <c r="W5" s="22" t="str">
        <f>IF(W4&lt;&gt;"",U5,"")</f>
        <v/>
      </c>
      <c r="X5" s="22" t="str">
        <f>IF(V6=2,U5,"")</f>
        <v>Peru</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0</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0</v>
      </c>
      <c r="AG5" s="22">
        <f>IF(W5&lt;&gt;"",SUMPRODUCT((V4:V7=V5)*(AF4:AF7&gt;AF5)*1),0)</f>
        <v>0</v>
      </c>
      <c r="AH5" s="22">
        <f>IF(W5&lt;&gt;"",SUMPRODUCT((AG4:AG7=AG5)*(AE4:AE7&gt;AE5)*1),0)</f>
        <v>0</v>
      </c>
      <c r="AI5" s="22">
        <f t="shared" si="0"/>
        <v>0</v>
      </c>
      <c r="AJ5" s="22">
        <f>IF(W5&lt;&gt;"",SUMPRODUCT((AI4:AI7=AI5)*(AG4:AG7=AG5)*(AC4:AC7&gt;AC5)*1),0)</f>
        <v>0</v>
      </c>
      <c r="AK5" s="22">
        <f t="shared" ref="AK5:AK19" si="9">V5+AI5+AJ5</f>
        <v>2</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1</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1</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2</v>
      </c>
      <c r="AX5" s="22">
        <v>0</v>
      </c>
      <c r="AY5" s="22">
        <v>0</v>
      </c>
      <c r="AZ5" s="22">
        <v>0</v>
      </c>
      <c r="BA5" s="22">
        <v>0</v>
      </c>
      <c r="BB5" s="22">
        <v>0</v>
      </c>
      <c r="BC5" s="22">
        <v>0</v>
      </c>
      <c r="BD5" s="22">
        <v>0</v>
      </c>
      <c r="BE5" s="22">
        <v>0</v>
      </c>
      <c r="BF5" s="22">
        <v>0</v>
      </c>
      <c r="BG5" s="22">
        <v>0</v>
      </c>
      <c r="BH5" s="22">
        <v>0</v>
      </c>
      <c r="BI5" s="22">
        <f>AW5+BG5+BH5</f>
        <v>2</v>
      </c>
      <c r="BJ5" s="22">
        <f>SUMPRODUCT((BI4:BI7=BI5)*(A4:A7&gt;A5)*1)</f>
        <v>0</v>
      </c>
      <c r="BK5" s="22">
        <f t="shared" ref="BK5:BK19" si="14">BJ5+BI5</f>
        <v>2</v>
      </c>
    </row>
    <row r="6" spans="1:78" x14ac:dyDescent="0.25">
      <c r="A6" s="22">
        <f>INDEX(M4:M35,MATCH(U6,C4:C35,0),0)</f>
        <v>1504</v>
      </c>
      <c r="B6" s="22">
        <v>3</v>
      </c>
      <c r="C6" s="22" t="str">
        <f t="shared" si="1"/>
        <v>Chile</v>
      </c>
      <c r="D6" s="22">
        <f t="shared" si="2"/>
        <v>1</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1</v>
      </c>
      <c r="G6" s="22">
        <f>SUMPRODUCT((Matches!H5:H28&lt;&gt;"")*(Matches!F5:F28=C6)*(Matches!H5:H28&lt;Matches!I5:I28)*1)+SUMPRODUCT((Matches!H5:H28&lt;&gt;"")*(Matches!K5:K28=C6)*(Matches!I5:I28&lt;Matches!H5:H28)*1)</f>
        <v>0</v>
      </c>
      <c r="H6" s="22">
        <f>SUMIF(Matches!F5:F28,C6,Matches!H5:H28)+SUMIF(Matches!K5:K28,C6,Matches!I5:I28)</f>
        <v>0</v>
      </c>
      <c r="I6" s="22">
        <f>SUMIF(Matches!F5:F28,C6,Matches!I5:I28)+SUMIF(Matches!K5:K28,C6,Matches!H5:H28)</f>
        <v>0</v>
      </c>
      <c r="J6" s="22">
        <f t="shared" si="3"/>
        <v>0</v>
      </c>
      <c r="K6" s="22">
        <f t="shared" si="4"/>
        <v>1</v>
      </c>
      <c r="L6" s="22">
        <f>Setup!E10</f>
        <v>1504</v>
      </c>
      <c r="M6" s="22">
        <f>IF(Setup!F10&lt;&gt;"",-Setup!F10,Setup!E10)</f>
        <v>1504</v>
      </c>
      <c r="N6" s="22">
        <f>RANK(K6,K4:K7)</f>
        <v>2</v>
      </c>
      <c r="O6" s="22">
        <f>SUMPRODUCT((N4:N7=N6)*(J4:J7&gt;J6)*1)</f>
        <v>0</v>
      </c>
      <c r="P6" s="22">
        <f t="shared" si="5"/>
        <v>2</v>
      </c>
      <c r="Q6" s="22">
        <f>SUMPRODUCT((N4:N7=N6)*(J4:J7=J6)*(H4:H7&gt;H6)*1)</f>
        <v>0</v>
      </c>
      <c r="R6" s="22">
        <f t="shared" si="6"/>
        <v>2</v>
      </c>
      <c r="S6" s="22">
        <f>IF(Matches!B45="© 2022 | journalSHEET.com",RANK(R6,R4:R7,1)+COUNTIF(R4:R6,R6)-1,2)</f>
        <v>3</v>
      </c>
      <c r="T6" s="22">
        <v>3</v>
      </c>
      <c r="U6" s="22" t="str">
        <f>INDEX(C4:C7,MATCH(T6,S4:S7,0),0)</f>
        <v>Chile</v>
      </c>
      <c r="V6" s="22">
        <f>INDEX(R4:R7,MATCH(U6,C4:C7,0),0)</f>
        <v>2</v>
      </c>
      <c r="W6" s="22" t="str">
        <f>IF(AND(W5&lt;&gt;"",V6=1),U6,"")</f>
        <v/>
      </c>
      <c r="X6" s="22" t="str">
        <f>IF(X5&lt;&gt;"",U6,"")</f>
        <v>Chile</v>
      </c>
      <c r="Y6" s="22" t="str">
        <f>IF(V7=3,U6,"")</f>
        <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0</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0</v>
      </c>
      <c r="AG6" s="22">
        <f>IF(W6&lt;&gt;"",SUMPRODUCT((V4:V7=V6)*(AF4:AF7&gt;AF6)*1),0)</f>
        <v>0</v>
      </c>
      <c r="AH6" s="22">
        <f>IF(W6&lt;&gt;"",SUMPRODUCT((AG4:AG7=AG6)*(AE4:AE7&gt;AE6)*1),0)</f>
        <v>0</v>
      </c>
      <c r="AI6" s="22">
        <f t="shared" si="0"/>
        <v>0</v>
      </c>
      <c r="AJ6" s="22">
        <f>IF(W6&lt;&gt;"",SUMPRODUCT((AI4:AI7=AI6)*(AG4:AG7=AG6)*(AC4:AC7&gt;AC6)*1),0)</f>
        <v>0</v>
      </c>
      <c r="AK6" s="22">
        <f t="shared" si="9"/>
        <v>2</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1</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1</v>
      </c>
      <c r="AS6" s="22">
        <f>IF(X6&lt;&gt;"",SUMPRODUCT((V4:V7=V6)*(AR4:AR7&gt;AR6)*1),0)</f>
        <v>0</v>
      </c>
      <c r="AT6" s="22">
        <f>IF(X6&lt;&gt;"",SUMPRODUCT((AS4:AS7=AS6)*(AQ4:AQ7&gt;AQ6)*1),0)</f>
        <v>0</v>
      </c>
      <c r="AU6" s="22">
        <f t="shared" si="12"/>
        <v>0</v>
      </c>
      <c r="AV6" s="22">
        <f>IF(X6&lt;&gt;"",SUMPRODUCT((AU4:AU7=AU6)*(AS4:AS7=AS6)*(AO4:AO7&gt;AO6)*1),0)</f>
        <v>0</v>
      </c>
      <c r="AW6" s="22">
        <f t="shared" si="13"/>
        <v>2</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0</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0</v>
      </c>
      <c r="BE6" s="22">
        <f>IF(Y6&lt;&gt;"",SUMPRODUCT((AH4:AH7=AH6)*(BD4:BD7&gt;BD6)*1),0)</f>
        <v>0</v>
      </c>
      <c r="BF6" s="22">
        <f>IF(Y6&lt;&gt;"",SUMPRODUCT((BE4:BE7=BE6)*(BC4:BC7&gt;BC6)*1),0)</f>
        <v>0</v>
      </c>
      <c r="BG6" s="22">
        <f>BE6+BF6</f>
        <v>0</v>
      </c>
      <c r="BH6" s="22">
        <f>IF(Y6&lt;&gt;"",SUMPRODUCT((BG4:BG7=BG6)*(BE4:BE7=BE6)*(BA4:BA7&gt;BA6)*1),0)</f>
        <v>0</v>
      </c>
      <c r="BI6" s="22">
        <f t="shared" ref="BI6:BI19" si="17">AW6+BG6+BH6</f>
        <v>2</v>
      </c>
      <c r="BJ6" s="22">
        <f>SUMPRODUCT((BI4:BI7=BI6)*(A4:A7&gt;A6)*1)</f>
        <v>1</v>
      </c>
      <c r="BK6" s="22">
        <f t="shared" si="14"/>
        <v>3</v>
      </c>
      <c r="BM6" s="190"/>
      <c r="BN6" s="190"/>
      <c r="BO6" s="190"/>
      <c r="BP6" s="190"/>
      <c r="BQ6" s="190"/>
      <c r="BT6" s="22"/>
      <c r="BU6" s="22"/>
      <c r="BV6" s="22"/>
      <c r="BW6" s="191"/>
      <c r="BX6" s="22"/>
    </row>
    <row r="7" spans="1:78" ht="15" x14ac:dyDescent="0.25">
      <c r="A7" s="22">
        <f>INDEX(M4:M35,MATCH(U7,C4:C35,0),0)</f>
        <v>1455</v>
      </c>
      <c r="B7" s="22">
        <v>4</v>
      </c>
      <c r="C7" s="22" t="str">
        <f t="shared" si="1"/>
        <v>Canada</v>
      </c>
      <c r="D7" s="22">
        <f t="shared" si="2"/>
        <v>1</v>
      </c>
      <c r="E7" s="22">
        <f>SUMPRODUCT((Matches!H5:H28&lt;&gt;"")*(Matches!F5:F28=C7)*(Matches!H5:H28&gt;Matches!I5:I28)*1)+SUMPRODUCT((Matches!H5:H28&lt;&gt;"")*(Matches!K5:K28=C7)*(Matches!I5:I28&gt;Matches!H5:H28)*1)</f>
        <v>0</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1</v>
      </c>
      <c r="H7" s="22">
        <f>SUMIF(Matches!F5:F28,C7,Matches!H5:H28)+SUMIF(Matches!K5:K28,C7,Matches!I5:I28)</f>
        <v>0</v>
      </c>
      <c r="I7" s="22">
        <f>SUMIF(Matches!F5:F28,C7,Matches!I5:I28)+SUMIF(Matches!K5:K28,C7,Matches!H5:H28)</f>
        <v>2</v>
      </c>
      <c r="J7" s="22">
        <f t="shared" si="3"/>
        <v>-2</v>
      </c>
      <c r="K7" s="22">
        <f t="shared" si="4"/>
        <v>0</v>
      </c>
      <c r="L7" s="22">
        <f>Setup!E11</f>
        <v>1455</v>
      </c>
      <c r="M7" s="22">
        <f>IF(Setup!F11&lt;&gt;"",-Setup!F11,Setup!E11)</f>
        <v>1455</v>
      </c>
      <c r="N7" s="22">
        <f>RANK(K7,K4:K7)</f>
        <v>4</v>
      </c>
      <c r="O7" s="22">
        <f>SUMPRODUCT((N4:N7=N7)*(J4:J7&gt;J7)*1)</f>
        <v>0</v>
      </c>
      <c r="P7" s="22">
        <f t="shared" si="5"/>
        <v>4</v>
      </c>
      <c r="Q7" s="22">
        <f>SUMPRODUCT((N4:N7=N7)*(J4:J7=J7)*(H4:H7&gt;H7)*1)</f>
        <v>0</v>
      </c>
      <c r="R7" s="22">
        <f t="shared" si="6"/>
        <v>4</v>
      </c>
      <c r="S7" s="22">
        <f>RANK(R7,R4:R7,1)+COUNTIF(R4:R7,R7)-1</f>
        <v>4</v>
      </c>
      <c r="T7" s="22">
        <v>4</v>
      </c>
      <c r="U7" s="22" t="str">
        <f>INDEX(C4:C7,MATCH(T7,S4:S7,0),0)</f>
        <v>Canada</v>
      </c>
      <c r="V7" s="22">
        <f>INDEX(R4:R7,MATCH(U7,C4:C7,0),0)</f>
        <v>4</v>
      </c>
      <c r="W7" s="22" t="str">
        <f>IF(AND(W6&lt;&gt;"",V7=1),U7,"")</f>
        <v/>
      </c>
      <c r="X7" s="22" t="str">
        <f>IF(AND(X6&lt;&gt;"",V7=2),U7,"")</f>
        <v/>
      </c>
      <c r="Y7" s="22" t="str">
        <f>IF(AND(Y6&lt;&gt;"",V7=3),U7,"")</f>
        <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0</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0</v>
      </c>
      <c r="AG7" s="22">
        <f>IF(W7&lt;&gt;"",SUMPRODUCT((V4:V7=V7)*(AF4:AF7&gt;AF7)*1),0)</f>
        <v>0</v>
      </c>
      <c r="AH7" s="22">
        <f>IF(W7&lt;&gt;"",SUMPRODUCT((AG4:AG7=AG7)*(AE4:AE7&gt;AE7)*1),0)</f>
        <v>0</v>
      </c>
      <c r="AI7" s="22">
        <f t="shared" si="0"/>
        <v>0</v>
      </c>
      <c r="AJ7" s="22">
        <f>IF(W7&lt;&gt;"",SUMPRODUCT((AI4:AI7=AI7)*(AG4:AG7=AG7)*(AC4:AC7&gt;AC7)*1),0)</f>
        <v>0</v>
      </c>
      <c r="AK7" s="22">
        <f t="shared" si="9"/>
        <v>4</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4</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0</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0</v>
      </c>
      <c r="BE7" s="22">
        <f>IF(Y7&lt;&gt;"",SUMPRODUCT((AH4:AH7=AH7)*(BD4:BD7&gt;BD7)*1),0)</f>
        <v>0</v>
      </c>
      <c r="BF7" s="22">
        <f>IF(Y7&lt;&gt;"",SUMPRODUCT((BE4:BE7=BE7)*(BC4:BC7&gt;BC7)*1),0)</f>
        <v>0</v>
      </c>
      <c r="BG7" s="22">
        <f>BE7+BF7</f>
        <v>0</v>
      </c>
      <c r="BH7" s="22">
        <f>IF(Y7&lt;&gt;"",SUMPRODUCT((BG4:BG7=BG7)*(BE4:BE7=BE7)*(BA4:BA7&gt;BA7)*1),0)</f>
        <v>0</v>
      </c>
      <c r="BI7" s="22">
        <f t="shared" si="17"/>
        <v>4</v>
      </c>
      <c r="BJ7" s="22">
        <f>SUMPRODUCT((BI4:BI7=BI7)*(A4:A7&gt;A7)*1)</f>
        <v>0</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4</v>
      </c>
      <c r="BZ7" s="189" t="str">
        <f>INDEX(Language!$A$1:$K$80,MATCH(Setup!B8,Language!$B$1:$B$80,0),MATCH(Setup!$C$5,Language!$A$1:$J$1,0))</f>
        <v>Argentina</v>
      </c>
    </row>
    <row r="8" spans="1:78" x14ac:dyDescent="0.25">
      <c r="A8" s="22">
        <f>INDEX(M4:M35,MATCH(U8,C4:C35,0),0)</f>
        <v>1446</v>
      </c>
      <c r="B8" s="22">
        <f>B4</f>
        <v>1</v>
      </c>
      <c r="C8" s="22" t="str">
        <f t="shared" si="1"/>
        <v>Mexico</v>
      </c>
      <c r="D8" s="22">
        <f t="shared" si="2"/>
        <v>1</v>
      </c>
      <c r="E8" s="22">
        <f>SUMPRODUCT((Matches!H5:H28&lt;&gt;"")*(Matches!F5:F28=C8)*(Matches!H5:H28&gt;Matches!I5:I28)*1)+SUMPRODUCT((Matches!H5:H28&lt;&gt;"")*(Matches!K5:K28=C8)*(Matches!I5:I28&gt;Matches!H5:H28)*1)</f>
        <v>1</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0</v>
      </c>
      <c r="H8" s="22">
        <f>SUMIF(Matches!F5:F28,C8,Matches!H5:H28)+SUMIF(Matches!K5:K28,C8,Matches!I5:I28)</f>
        <v>1</v>
      </c>
      <c r="I8" s="22">
        <f>SUMIF(Matches!F5:F28,C8,Matches!I5:I28)+SUMIF(Matches!K5:K28,C8,Matches!H5:H28)</f>
        <v>0</v>
      </c>
      <c r="J8" s="22">
        <f t="shared" si="3"/>
        <v>1</v>
      </c>
      <c r="K8" s="22">
        <f t="shared" si="4"/>
        <v>3</v>
      </c>
      <c r="L8" s="22">
        <f>Setup!E12</f>
        <v>1664</v>
      </c>
      <c r="M8" s="22">
        <f>IF(Setup!F12&lt;&gt;"",-Setup!F12,Setup!E12)</f>
        <v>1664</v>
      </c>
      <c r="N8" s="22">
        <f>RANK(K8,K8:K11)</f>
        <v>1</v>
      </c>
      <c r="O8" s="22">
        <f>SUMPRODUCT((N8:N11=N8)*(J8:J11&gt;J8)*1)</f>
        <v>0</v>
      </c>
      <c r="P8" s="22">
        <f t="shared" si="5"/>
        <v>1</v>
      </c>
      <c r="Q8" s="22">
        <f>SUMPRODUCT((N8:N11=N8)*(J8:J11=J8)*(H8:H11&gt;H8)*1)</f>
        <v>1</v>
      </c>
      <c r="R8" s="22">
        <f t="shared" si="6"/>
        <v>2</v>
      </c>
      <c r="S8" s="22">
        <f>RANK(R8,R8:R11,1)+COUNTIF(R8:R8,R8)-1</f>
        <v>2</v>
      </c>
      <c r="T8" s="22">
        <v>1</v>
      </c>
      <c r="U8" s="22" t="str">
        <f t="shared" ref="U8" si="20">INDEX(C8:C11,MATCH(T8,S8:S11,0),0)</f>
        <v>Venezuela</v>
      </c>
      <c r="V8" s="22">
        <f>INDEX(R8:R11,MATCH(U8,C8:C11,0),0)</f>
        <v>1</v>
      </c>
      <c r="W8" s="22" t="str">
        <f t="shared" ref="W8" si="21">IF(V9=1,U8,"")</f>
        <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0</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0</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1664</v>
      </c>
      <c r="B9" s="22">
        <f t="shared" ref="B9:B19" si="25">B5</f>
        <v>2</v>
      </c>
      <c r="C9" s="22" t="str">
        <f t="shared" si="1"/>
        <v>Ecuador</v>
      </c>
      <c r="D9" s="22">
        <f t="shared" si="2"/>
        <v>1</v>
      </c>
      <c r="E9" s="22">
        <f>SUMPRODUCT((Matches!H5:H28&lt;&gt;"")*(Matches!F5:F28=C9)*(Matches!H5:H28&gt;Matches!I5:I28)*1)+SUMPRODUCT((Matches!H5:H28&lt;&gt;"")*(Matches!K5:K28=C9)*(Matches!I5:I28&gt;Matches!H5:H28)*1)</f>
        <v>0</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1</v>
      </c>
      <c r="H9" s="22">
        <f>SUMIF(Matches!F5:F28,C9,Matches!H5:H28)+SUMIF(Matches!K5:K28,C9,Matches!I5:I28)</f>
        <v>1</v>
      </c>
      <c r="I9" s="22">
        <f>SUMIF(Matches!F5:F28,C9,Matches!I5:I28)+SUMIF(Matches!K5:K28,C9,Matches!H5:H28)</f>
        <v>2</v>
      </c>
      <c r="J9" s="22">
        <f t="shared" si="3"/>
        <v>-1</v>
      </c>
      <c r="K9" s="22">
        <f t="shared" si="4"/>
        <v>0</v>
      </c>
      <c r="L9" s="22">
        <f>Setup!E13</f>
        <v>1508</v>
      </c>
      <c r="M9" s="22">
        <f>IF(Setup!F13&lt;&gt;"",-Setup!F13,Setup!E13)</f>
        <v>1508</v>
      </c>
      <c r="N9" s="22">
        <f>RANK(K9,K8:K11)</f>
        <v>3</v>
      </c>
      <c r="O9" s="22">
        <f>SUMPRODUCT((N8:N11=N9)*(J8:J11&gt;J9)*1)</f>
        <v>0</v>
      </c>
      <c r="P9" s="22">
        <f t="shared" si="5"/>
        <v>3</v>
      </c>
      <c r="Q9" s="22">
        <f>SUMPRODUCT((N8:N11=N9)*(J8:J11=J9)*(H8:H11&gt;H9)*1)</f>
        <v>0</v>
      </c>
      <c r="R9" s="22">
        <f t="shared" si="6"/>
        <v>3</v>
      </c>
      <c r="S9" s="22">
        <f>RANK(R9,R8:R11,1)+COUNTIF(R8:R9,R9)-1</f>
        <v>3</v>
      </c>
      <c r="T9" s="22">
        <v>2</v>
      </c>
      <c r="U9" s="22" t="str">
        <f t="shared" ref="U9" si="26">INDEX(C8:C11,MATCH(T9,S8:S11,0),0)</f>
        <v>Mexico</v>
      </c>
      <c r="V9" s="22">
        <f>INDEX(R8:R11,MATCH(U9,C8:C11,0),0)</f>
        <v>2</v>
      </c>
      <c r="W9" s="22" t="str">
        <f t="shared" ref="W9" si="27">IF(W8&lt;&gt;"",U9,"")</f>
        <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0</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0</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2</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2</v>
      </c>
      <c r="AX9" s="22">
        <v>0</v>
      </c>
      <c r="AY9" s="22">
        <v>0</v>
      </c>
      <c r="AZ9" s="22">
        <v>0</v>
      </c>
      <c r="BA9" s="22">
        <v>0</v>
      </c>
      <c r="BB9" s="22">
        <v>0</v>
      </c>
      <c r="BC9" s="22">
        <v>0</v>
      </c>
      <c r="BD9" s="22">
        <v>0</v>
      </c>
      <c r="BE9" s="22">
        <v>0</v>
      </c>
      <c r="BF9" s="22">
        <v>0</v>
      </c>
      <c r="BG9" s="22">
        <v>0</v>
      </c>
      <c r="BH9" s="22">
        <v>0</v>
      </c>
      <c r="BI9" s="22">
        <f t="shared" si="17"/>
        <v>2</v>
      </c>
      <c r="BJ9" s="22">
        <f>SUMPRODUCT((BI8:BI11=BI9)*(A8:A11&gt;A9)*1)</f>
        <v>0</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1508</v>
      </c>
      <c r="B10" s="22">
        <f t="shared" si="25"/>
        <v>3</v>
      </c>
      <c r="C10" s="22" t="str">
        <f t="shared" si="1"/>
        <v>Venezuela</v>
      </c>
      <c r="D10" s="22">
        <f t="shared" si="2"/>
        <v>1</v>
      </c>
      <c r="E10" s="22">
        <f>SUMPRODUCT((Matches!H5:H28&lt;&gt;"")*(Matches!F5:F28=C10)*(Matches!H5:H28&gt;Matches!I5:I28)*1)+SUMPRODUCT((Matches!H5:H28&lt;&gt;"")*(Matches!K5:K28=C10)*(Matches!I5:I28&gt;Matches!H5:H28)*1)</f>
        <v>1</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2</v>
      </c>
      <c r="I10" s="22">
        <f>SUMIF(Matches!F5:F28,C10,Matches!I5:I28)+SUMIF(Matches!K5:K28,C10,Matches!H5:H28)</f>
        <v>1</v>
      </c>
      <c r="J10" s="22">
        <f t="shared" si="3"/>
        <v>1</v>
      </c>
      <c r="K10" s="22">
        <f t="shared" si="4"/>
        <v>3</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1</v>
      </c>
      <c r="T10" s="22">
        <v>3</v>
      </c>
      <c r="U10" s="22" t="str">
        <f>INDEX(C8:C11,MATCH(T10,S8:S11,0),0)</f>
        <v>Ecuador</v>
      </c>
      <c r="V10" s="22">
        <f>INDEX(R8:R11,MATCH(U10,C8:C11,0),0)</f>
        <v>3</v>
      </c>
      <c r="W10" s="22" t="str">
        <f t="shared" ref="W10:W11" si="35">IF(AND(W9&lt;&gt;"",V10=1),U10,"")</f>
        <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0</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0</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3</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3</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3</v>
      </c>
      <c r="BJ10" s="22">
        <f>SUMPRODUCT((BI8:BI11=BI10)*(A8:A11&gt;A10)*1)</f>
        <v>0</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5" x14ac:dyDescent="0.25">
      <c r="A11" s="22">
        <f>INDEX(M4:M35,MATCH(U11,C4:C35,0),0)</f>
        <v>1422</v>
      </c>
      <c r="B11" s="22">
        <f t="shared" si="25"/>
        <v>4</v>
      </c>
      <c r="C11" s="22" t="str">
        <f t="shared" si="1"/>
        <v>Jamaica</v>
      </c>
      <c r="D11" s="22">
        <f t="shared" si="2"/>
        <v>1</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1</v>
      </c>
      <c r="H11" s="22">
        <f>SUMIF(Matches!F5:F28,C11,Matches!H5:H28)+SUMIF(Matches!K5:K28,C11,Matches!I5:I28)</f>
        <v>0</v>
      </c>
      <c r="I11" s="22">
        <f>SUMIF(Matches!F5:F28,C11,Matches!I5:I28)+SUMIF(Matches!K5:K28,C11,Matches!H5:H28)</f>
        <v>1</v>
      </c>
      <c r="J11" s="22">
        <f t="shared" si="3"/>
        <v>-1</v>
      </c>
      <c r="K11" s="22">
        <f t="shared" si="4"/>
        <v>0</v>
      </c>
      <c r="L11" s="22">
        <f>Setup!E15</f>
        <v>1422</v>
      </c>
      <c r="M11" s="22">
        <f>IF(Setup!F15&lt;&gt;"",-Setup!F15,Setup!E15)</f>
        <v>1422</v>
      </c>
      <c r="N11" s="22">
        <f>RANK(K11,K8:K11)</f>
        <v>3</v>
      </c>
      <c r="O11" s="22">
        <f>SUMPRODUCT((N8:N11=N11)*(J8:J11&gt;J11)*1)</f>
        <v>0</v>
      </c>
      <c r="P11" s="22">
        <f t="shared" si="5"/>
        <v>3</v>
      </c>
      <c r="Q11" s="22">
        <f>SUMPRODUCT((N8:N11=N11)*(J8:J11=J11)*(H8:H11&gt;H11)*1)</f>
        <v>1</v>
      </c>
      <c r="R11" s="22">
        <f t="shared" si="6"/>
        <v>4</v>
      </c>
      <c r="S11" s="22">
        <f>RANK(R11,R8:R11,1)+COUNTIF(R8:R11,R11)-1</f>
        <v>4</v>
      </c>
      <c r="T11" s="22">
        <v>4</v>
      </c>
      <c r="U11" s="22" t="str">
        <f t="shared" ref="U11" si="50">INDEX(C8:C11,MATCH(T11,S8:S11,0),0)</f>
        <v>Jamaica</v>
      </c>
      <c r="V11" s="22">
        <f>INDEX(R8:R11,MATCH(U11,C8:C11,0),0)</f>
        <v>4</v>
      </c>
      <c r="W11" s="22" t="str">
        <f t="shared" si="35"/>
        <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0</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0</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4</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4</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4</v>
      </c>
      <c r="BJ11" s="22">
        <f>SUMPRODUCT((BI8:BI11=BI11)*(A8:A11&gt;A11)*1)</f>
        <v>0</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1644</v>
      </c>
      <c r="B12" s="22">
        <f t="shared" si="25"/>
        <v>1</v>
      </c>
      <c r="C12" s="22" t="str">
        <f t="shared" si="1"/>
        <v>United States</v>
      </c>
      <c r="D12" s="22">
        <f t="shared" si="2"/>
        <v>1</v>
      </c>
      <c r="E12" s="22">
        <f>SUMPRODUCT((Matches!H5:H28&lt;&gt;"")*(Matches!F5:F28=C12)*(Matches!H5:H28&gt;Matches!I5:I28)*1)+SUMPRODUCT((Matches!H5:H28&lt;&gt;"")*(Matches!K5:K28=C12)*(Matches!I5:I28&gt;Matches!H5:H28)*1)</f>
        <v>1</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2</v>
      </c>
      <c r="I12" s="22">
        <f>SUMIF(Matches!F5:F28,C12,Matches!I5:I28)+SUMIF(Matches!K5:K28,C12,Matches!H5:H28)</f>
        <v>0</v>
      </c>
      <c r="J12" s="22">
        <f t="shared" si="3"/>
        <v>2</v>
      </c>
      <c r="K12" s="22">
        <f t="shared" si="4"/>
        <v>3</v>
      </c>
      <c r="L12" s="22">
        <f>Setup!E16</f>
        <v>1676</v>
      </c>
      <c r="M12" s="22">
        <f>IF(Setup!F16&lt;&gt;"",-Setup!F16,Setup!E16)</f>
        <v>1676</v>
      </c>
      <c r="N12" s="22">
        <f>RANK(K12,K12:K15)</f>
        <v>1</v>
      </c>
      <c r="O12" s="22">
        <f>SUMPRODUCT((N12:N15=N12)*(J12:J15&gt;J12)*1)</f>
        <v>0</v>
      </c>
      <c r="P12" s="22">
        <f t="shared" si="5"/>
        <v>1</v>
      </c>
      <c r="Q12" s="22">
        <f>SUMPRODUCT((N12:N15=N12)*(J12:J15=J12)*(H12:H15&gt;H12)*1)</f>
        <v>1</v>
      </c>
      <c r="R12" s="22">
        <f t="shared" si="6"/>
        <v>2</v>
      </c>
      <c r="S12" s="22">
        <f>RANK(R12,R12:R15,1)+COUNTIF(R12:R12,R12)-1</f>
        <v>2</v>
      </c>
      <c r="T12" s="22">
        <v>1</v>
      </c>
      <c r="U12" s="22" t="str">
        <f t="shared" ref="U12" si="62">INDEX(C12:C15,MATCH(T12,S12:S15,0),0)</f>
        <v>Uruguay</v>
      </c>
      <c r="V12" s="22">
        <f>INDEX(R12:R15,MATCH(U12,C12:C15,0),0)</f>
        <v>1</v>
      </c>
      <c r="W12" s="22" t="str">
        <f t="shared" ref="W12" si="63">IF(V13=1,U12,"")</f>
        <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0</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0</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1676</v>
      </c>
      <c r="B13" s="22">
        <f t="shared" si="25"/>
        <v>2</v>
      </c>
      <c r="C13" s="22" t="str">
        <f t="shared" si="1"/>
        <v>Uruguay</v>
      </c>
      <c r="D13" s="22">
        <f t="shared" si="2"/>
        <v>1</v>
      </c>
      <c r="E13" s="22">
        <f>SUMPRODUCT((Matches!H5:H28&lt;&gt;"")*(Matches!F5:F28=C13)*(Matches!H5:H28&gt;Matches!I5:I28)*1)+SUMPRODUCT((Matches!H5:H28&lt;&gt;"")*(Matches!K5:K28=C13)*(Matches!I5:I28&gt;Matches!H5:H28)*1)</f>
        <v>1</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3</v>
      </c>
      <c r="I13" s="22">
        <f>SUMIF(Matches!F5:F28,C13,Matches!I5:I28)+SUMIF(Matches!K5:K28,C13,Matches!H5:H28)</f>
        <v>1</v>
      </c>
      <c r="J13" s="22">
        <f t="shared" si="3"/>
        <v>2</v>
      </c>
      <c r="K13" s="22">
        <f t="shared" si="4"/>
        <v>3</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1</v>
      </c>
      <c r="T13" s="22">
        <v>2</v>
      </c>
      <c r="U13" s="22" t="str">
        <f t="shared" ref="U13" si="67">INDEX(C12:C15,MATCH(T13,S12:S15,0),0)</f>
        <v>United States</v>
      </c>
      <c r="V13" s="22">
        <f>INDEX(R12:R15,MATCH(U13,C12:C15,0),0)</f>
        <v>2</v>
      </c>
      <c r="W13" s="22" t="str">
        <f t="shared" ref="W13" si="68">IF(W12&lt;&gt;"",U13,"")</f>
        <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0</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0</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2</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2</v>
      </c>
      <c r="AX13" s="22">
        <v>0</v>
      </c>
      <c r="AY13" s="22">
        <v>0</v>
      </c>
      <c r="AZ13" s="22">
        <v>0</v>
      </c>
      <c r="BA13" s="22">
        <v>0</v>
      </c>
      <c r="BB13" s="22">
        <v>0</v>
      </c>
      <c r="BC13" s="22">
        <v>0</v>
      </c>
      <c r="BD13" s="22">
        <v>0</v>
      </c>
      <c r="BE13" s="22">
        <v>0</v>
      </c>
      <c r="BF13" s="22">
        <v>0</v>
      </c>
      <c r="BG13" s="22">
        <v>0</v>
      </c>
      <c r="BH13" s="22">
        <v>0</v>
      </c>
      <c r="BI13" s="22">
        <f t="shared" si="17"/>
        <v>2</v>
      </c>
      <c r="BJ13" s="22">
        <f>SUMPRODUCT((BI12:BI15=BI13)*(A12:A15&gt;A13)*1)</f>
        <v>0</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4</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1</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1</v>
      </c>
      <c r="H14" s="22">
        <f>SUMIF(Matches!F5:F28,C14,Matches!H5:H28)+SUMIF(Matches!K5:K28,C14,Matches!I5:I28)</f>
        <v>1</v>
      </c>
      <c r="I14" s="22">
        <f>SUMIF(Matches!F5:F28,C14,Matches!I5:I28)+SUMIF(Matches!K5:K28,C14,Matches!H5:H28)</f>
        <v>3</v>
      </c>
      <c r="J14" s="22">
        <f t="shared" si="3"/>
        <v>-2</v>
      </c>
      <c r="K14" s="22">
        <f t="shared" si="4"/>
        <v>0</v>
      </c>
      <c r="L14" s="22">
        <f>Setup!E18</f>
        <v>1461</v>
      </c>
      <c r="M14" s="22">
        <f>IF(Setup!F18&lt;&gt;"",-Setup!F18,Setup!E18)</f>
        <v>1461</v>
      </c>
      <c r="N14" s="22">
        <f>RANK(K14,K12:K15)</f>
        <v>3</v>
      </c>
      <c r="O14" s="22">
        <f>SUMPRODUCT((N12:N15=N14)*(J12:J15&gt;J14)*1)</f>
        <v>0</v>
      </c>
      <c r="P14" s="22">
        <f t="shared" si="5"/>
        <v>3</v>
      </c>
      <c r="Q14" s="22">
        <f>SUMPRODUCT((N12:N15=N14)*(J12:J15=J14)*(H12:H15&gt;H14)*1)</f>
        <v>0</v>
      </c>
      <c r="R14" s="22">
        <f t="shared" si="6"/>
        <v>3</v>
      </c>
      <c r="S14" s="22">
        <f>RANK(R14,R12:R15,1)+COUNTIF(R12:R14,R14)-1</f>
        <v>3</v>
      </c>
      <c r="T14" s="22">
        <v>3</v>
      </c>
      <c r="U14" s="22" t="str">
        <f t="shared" ref="U14" si="76">INDEX(C12:C15,MATCH(T14,S12:S15,0),0)</f>
        <v>Panama</v>
      </c>
      <c r="V14" s="22">
        <f>INDEX(R12:R15,MATCH(U14,C12:C15,0),0)</f>
        <v>3</v>
      </c>
      <c r="W14" s="22" t="str">
        <f t="shared" ref="W14:W15" si="77">IF(AND(W13&lt;&gt;"",V14=1),U14,"")</f>
        <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0</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0</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3</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3</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3</v>
      </c>
      <c r="BJ14" s="22">
        <f>SUMPRODUCT((BI12:BI15=BI14)*(A12:A15&gt;A14)*1)</f>
        <v>0</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5" x14ac:dyDescent="0.25">
      <c r="A15" s="22">
        <f>INDEX(M4:M35,MATCH(U15,C4:C35,0),0)</f>
        <v>1271</v>
      </c>
      <c r="B15" s="22">
        <f t="shared" si="25"/>
        <v>4</v>
      </c>
      <c r="C15" s="22" t="str">
        <f t="shared" si="1"/>
        <v>Bolivia</v>
      </c>
      <c r="D15" s="22">
        <f t="shared" si="2"/>
        <v>1</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1</v>
      </c>
      <c r="H15" s="22">
        <f>SUMIF(Matches!F5:F28,C15,Matches!H5:H28)+SUMIF(Matches!K5:K28,C15,Matches!I5:I28)</f>
        <v>0</v>
      </c>
      <c r="I15" s="22">
        <f>SUMIF(Matches!F5:F28,C15,Matches!I5:I28)+SUMIF(Matches!K5:K28,C15,Matches!H5:H28)</f>
        <v>2</v>
      </c>
      <c r="J15" s="22">
        <f t="shared" si="3"/>
        <v>-2</v>
      </c>
      <c r="K15" s="22">
        <f t="shared" si="4"/>
        <v>0</v>
      </c>
      <c r="L15" s="22">
        <f>Setup!E19</f>
        <v>1271</v>
      </c>
      <c r="M15" s="22">
        <f>IF(Setup!F19&lt;&gt;"",-Setup!F19,Setup!E19)</f>
        <v>1271</v>
      </c>
      <c r="N15" s="22">
        <f>RANK(K15,K12:K15)</f>
        <v>3</v>
      </c>
      <c r="O15" s="22">
        <f>SUMPRODUCT((N12:N15=N15)*(J12:J15&gt;J15)*1)</f>
        <v>0</v>
      </c>
      <c r="P15" s="22">
        <f t="shared" si="5"/>
        <v>3</v>
      </c>
      <c r="Q15" s="22">
        <f>SUMPRODUCT((N12:N15=N15)*(J12:J15=J15)*(H12:H15&gt;H15)*1)</f>
        <v>1</v>
      </c>
      <c r="R15" s="22">
        <f t="shared" si="6"/>
        <v>4</v>
      </c>
      <c r="S15" s="22">
        <f>RANK(R15,R12:R15,1)+COUNTIF(R12:R15,R15)-1</f>
        <v>4</v>
      </c>
      <c r="T15" s="22">
        <v>4</v>
      </c>
      <c r="U15" s="22" t="str">
        <f t="shared" ref="U15" si="92">INDEX(C12:C15,MATCH(T15,S12:S15,0),0)</f>
        <v>Bolivia</v>
      </c>
      <c r="V15" s="22">
        <f>INDEX(R12:R15,MATCH(U15,C12:C15,0),0)</f>
        <v>4</v>
      </c>
      <c r="W15" s="22" t="str">
        <f t="shared" si="77"/>
        <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0</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0</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4</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4</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4</v>
      </c>
      <c r="BJ15" s="22">
        <f>SUMPRODUCT((BI12:BI15=BI15)*(A12:A15&gt;A15)*1)</f>
        <v>0</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1812</v>
      </c>
      <c r="B16" s="22">
        <f t="shared" si="25"/>
        <v>1</v>
      </c>
      <c r="C16" s="22" t="str">
        <f t="shared" si="1"/>
        <v>Brazil</v>
      </c>
      <c r="D16" s="22">
        <f t="shared" si="2"/>
        <v>0</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0</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0</v>
      </c>
      <c r="L16" s="22">
        <f>Setup!E20</f>
        <v>1812</v>
      </c>
      <c r="M16" s="22">
        <f>IF(Setup!F20&lt;&gt;"",-Setup!F20,Setup!E20)</f>
        <v>1812</v>
      </c>
      <c r="N16" s="22">
        <f>RANK(K16,K16:K19)</f>
        <v>1</v>
      </c>
      <c r="O16" s="22">
        <f>SUMPRODUCT((N16:N19=N16)*(J16:J19&gt;J16)*1)</f>
        <v>0</v>
      </c>
      <c r="P16" s="22">
        <f t="shared" si="5"/>
        <v>1</v>
      </c>
      <c r="Q16" s="22">
        <f>SUMPRODUCT((N16:N19=N16)*(J16:J19=J16)*(H16:H19&gt;H16)*1)</f>
        <v>0</v>
      </c>
      <c r="R16" s="22">
        <f t="shared" si="6"/>
        <v>1</v>
      </c>
      <c r="S16" s="22">
        <f>RANK(R16,R16:R19,1)+COUNTIF(R16:R16,R16)-1</f>
        <v>1</v>
      </c>
      <c r="T16" s="22">
        <v>1</v>
      </c>
      <c r="U16" s="22" t="str">
        <f t="shared" ref="U16" si="104">INDEX(C16:C19,MATCH(T16,S16:S19,0),0)</f>
        <v>Brazil</v>
      </c>
      <c r="V16" s="22">
        <f>INDEX(R16:R19,MATCH(U16,C16:C19,0),0)</f>
        <v>1</v>
      </c>
      <c r="W16" s="22" t="str">
        <f t="shared" ref="W16" si="105">IF(V17=1,U16,"")</f>
        <v>Brazil</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3</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3</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1627</v>
      </c>
      <c r="B17" s="22">
        <f t="shared" si="25"/>
        <v>2</v>
      </c>
      <c r="C17" s="22" t="str">
        <f t="shared" si="1"/>
        <v>Colombia</v>
      </c>
      <c r="D17" s="22">
        <f t="shared" si="2"/>
        <v>0</v>
      </c>
      <c r="E17" s="22">
        <f>SUMPRODUCT((Matches!H5:H28&lt;&gt;"")*(Matches!F5:F28=C17)*(Matches!H5:H28&gt;Matches!I5:I28)*1)+SUMPRODUCT((Matches!H5:H28&lt;&gt;"")*(Matches!K5:K28=C17)*(Matches!I5:I28&gt;Matches!H5:H28)*1)</f>
        <v>0</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0</v>
      </c>
      <c r="I17" s="22">
        <f>SUMIF(Matches!F5:F28,C17,Matches!I5:I28)+SUMIF(Matches!K5:K28,C17,Matches!H5:H28)</f>
        <v>0</v>
      </c>
      <c r="J17" s="22">
        <f t="shared" si="3"/>
        <v>0</v>
      </c>
      <c r="K17" s="22">
        <f t="shared" si="4"/>
        <v>0</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2</v>
      </c>
      <c r="T17" s="22">
        <v>2</v>
      </c>
      <c r="U17" s="22" t="str">
        <f t="shared" ref="U17" si="109">INDEX(C16:C19,MATCH(T17,S16:S19,0),0)</f>
        <v>Colombia</v>
      </c>
      <c r="V17" s="22">
        <f>INDEX(R16:R19,MATCH(U17,C16:C19,0),0)</f>
        <v>1</v>
      </c>
      <c r="W17" s="22" t="str">
        <f t="shared" ref="W17" si="110">IF(W16&lt;&gt;"",U17,"")</f>
        <v>Colombia</v>
      </c>
      <c r="X17" s="22" t="str">
        <f t="shared" ref="X17" si="111">IF(V18=2,U17,"")</f>
        <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3</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3</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1</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0</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0</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1</v>
      </c>
      <c r="AX17" s="22">
        <v>0</v>
      </c>
      <c r="AY17" s="22">
        <v>0</v>
      </c>
      <c r="AZ17" s="22">
        <v>0</v>
      </c>
      <c r="BA17" s="22">
        <v>0</v>
      </c>
      <c r="BB17" s="22">
        <v>0</v>
      </c>
      <c r="BC17" s="22">
        <v>0</v>
      </c>
      <c r="BD17" s="22">
        <v>0</v>
      </c>
      <c r="BE17" s="22">
        <v>0</v>
      </c>
      <c r="BF17" s="22">
        <v>0</v>
      </c>
      <c r="BG17" s="22">
        <v>0</v>
      </c>
      <c r="BH17" s="22">
        <v>0</v>
      </c>
      <c r="BI17" s="22">
        <f t="shared" si="17"/>
        <v>1</v>
      </c>
      <c r="BJ17" s="22">
        <f>SUMPRODUCT((BI16:BI19=BI17)*(A16:A19&gt;A17)*1)</f>
        <v>1</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1437</v>
      </c>
      <c r="B18" s="22">
        <f t="shared" si="25"/>
        <v>3</v>
      </c>
      <c r="C18" s="22" t="str">
        <f>IF(License!G14="Musa",BZ21,BZ20)</f>
        <v>Paraguay</v>
      </c>
      <c r="D18" s="22">
        <f t="shared" si="2"/>
        <v>0</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0</v>
      </c>
      <c r="H18" s="22">
        <f>SUMIF(Matches!F5:F28,C18,Matches!H5:H28)+SUMIF(Matches!K5:K28,C18,Matches!I5:I28)</f>
        <v>0</v>
      </c>
      <c r="I18" s="22">
        <f>SUMIF(Matches!F5:F28,C18,Matches!I5:I28)+SUMIF(Matches!K5:K28,C18,Matches!H5:H28)</f>
        <v>0</v>
      </c>
      <c r="J18" s="22">
        <f t="shared" si="3"/>
        <v>0</v>
      </c>
      <c r="K18" s="22">
        <f t="shared" si="4"/>
        <v>0</v>
      </c>
      <c r="L18" s="22">
        <f>Setup!E22</f>
        <v>1437</v>
      </c>
      <c r="M18" s="22">
        <f>IF(Setup!F22&lt;&gt;"",-Setup!F22,Setup!E22)</f>
        <v>1437</v>
      </c>
      <c r="N18" s="22">
        <f>RANK(K18,K16:K19)</f>
        <v>1</v>
      </c>
      <c r="O18" s="22">
        <f>SUMPRODUCT((N16:N19=N18)*(J16:J19&gt;J18)*1)</f>
        <v>0</v>
      </c>
      <c r="P18" s="22">
        <f t="shared" si="5"/>
        <v>1</v>
      </c>
      <c r="Q18" s="22">
        <f>SUMPRODUCT((N16:N19=N18)*(J16:J19=J18)*(H16:H19&gt;H18)*1)</f>
        <v>0</v>
      </c>
      <c r="R18" s="22">
        <f t="shared" si="6"/>
        <v>1</v>
      </c>
      <c r="S18" s="22">
        <f>RANK(R18,R16:R19,1)+COUNTIF(R16:R18,R18)-1</f>
        <v>3</v>
      </c>
      <c r="T18" s="22">
        <v>3</v>
      </c>
      <c r="U18" s="22" t="str">
        <f t="shared" ref="U18" si="118">INDEX(C16:C19,MATCH(T18,S16:S19,0),0)</f>
        <v>Paraguay</v>
      </c>
      <c r="V18" s="22">
        <f>INDEX(R16:R19,MATCH(U18,C16:C19,0),0)</f>
        <v>1</v>
      </c>
      <c r="W18" s="22" t="str">
        <f t="shared" ref="W18:W19" si="119">IF(AND(W17&lt;&gt;"",V18=1),U18,"")</f>
        <v>Paraguay</v>
      </c>
      <c r="X18" s="22" t="str">
        <f t="shared" ref="X18" si="120">IF(X17&lt;&gt;"",U18,"")</f>
        <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3</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3</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1</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0</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0</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1</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1</v>
      </c>
      <c r="BJ18" s="22">
        <f>SUMPRODUCT((BI16:BI19=BI18)*(A16:A19&gt;A18)*1)</f>
        <v>3</v>
      </c>
      <c r="BK18" s="22">
        <f t="shared" si="14"/>
        <v>4</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5" x14ac:dyDescent="0.25">
      <c r="A19" s="22">
        <f>INDEX(M4:M35,MATCH(U19,C4:C35,0),0)</f>
        <v>1452</v>
      </c>
      <c r="B19" s="22">
        <f t="shared" si="25"/>
        <v>4</v>
      </c>
      <c r="C19" s="22" t="str">
        <f t="shared" si="1"/>
        <v>Costa Rica</v>
      </c>
      <c r="D19" s="22">
        <f t="shared" si="2"/>
        <v>0</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0</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0</v>
      </c>
      <c r="L19" s="22">
        <f>Setup!E23</f>
        <v>1452</v>
      </c>
      <c r="M19" s="22">
        <f>IF(Setup!F23&lt;&gt;"",-Setup!F23,Setup!E23)</f>
        <v>1452</v>
      </c>
      <c r="N19" s="22">
        <f>RANK(K19,K16:K19)</f>
        <v>1</v>
      </c>
      <c r="O19" s="22">
        <f>SUMPRODUCT((N16:N19=N19)*(J16:J19&gt;J19)*1)</f>
        <v>0</v>
      </c>
      <c r="P19" s="22">
        <f t="shared" si="5"/>
        <v>1</v>
      </c>
      <c r="Q19" s="22">
        <f>SUMPRODUCT((N16:N19=N19)*(J16:J19=J19)*(H16:H19&gt;H19)*1)</f>
        <v>0</v>
      </c>
      <c r="R19" s="22">
        <f t="shared" si="6"/>
        <v>1</v>
      </c>
      <c r="S19" s="22">
        <f>RANK(R19,R16:R19,1)+COUNTIF(R16:R19,R19)-1</f>
        <v>4</v>
      </c>
      <c r="T19" s="22">
        <v>4</v>
      </c>
      <c r="U19" s="22" t="str">
        <f t="shared" ref="U19" si="134">INDEX(C16:C19,MATCH(T19,S16:S19,0),0)</f>
        <v>Costa Rica</v>
      </c>
      <c r="V19" s="22">
        <f>INDEX(R16:R19,MATCH(U19,C16:C19,0),0)</f>
        <v>1</v>
      </c>
      <c r="W19" s="22" t="str">
        <f t="shared" si="119"/>
        <v>Costa Rica</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3</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3</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1</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1</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1</v>
      </c>
      <c r="BJ19" s="22">
        <f>SUMPRODUCT((BI16:BI19=BI19)*(A16:A19&gt;A19)*1)</f>
        <v>2</v>
      </c>
      <c r="BK19" s="22">
        <f t="shared" si="14"/>
        <v>3</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4</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0</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27.6"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workbookViewId="0">
      <selection activeCell="D4" sqref="D4"/>
    </sheetView>
  </sheetViews>
  <sheetFormatPr defaultColWidth="9.109375" defaultRowHeight="13.8" x14ac:dyDescent="0.25"/>
  <cols>
    <col min="1" max="1" width="4" style="22" bestFit="1" customWidth="1"/>
    <col min="2" max="9" width="15.5546875" style="22" customWidth="1"/>
    <col min="10" max="10" width="9.109375" style="22"/>
    <col min="11" max="11" width="9.109375" style="189"/>
    <col min="12" max="16384" width="9.10937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14"/>
  <sheetViews>
    <sheetView showGridLines="0" workbookViewId="0">
      <pane ySplit="2" topLeftCell="A3" activePane="bottomLeft" state="frozen"/>
      <selection pane="bottomLeft" activeCell="G14" sqref="G14"/>
    </sheetView>
  </sheetViews>
  <sheetFormatPr defaultRowHeight="13.2" x14ac:dyDescent="0.25"/>
  <cols>
    <col min="1" max="1" width="1.5546875" customWidth="1"/>
  </cols>
  <sheetData>
    <row r="1" spans="2:96" s="166" customFormat="1" ht="5.0999999999999996" customHeight="1" x14ac:dyDescent="0.25"/>
    <row r="2" spans="2:96" s="2" customFormat="1" ht="35.4" x14ac:dyDescent="0.25">
      <c r="B2" s="19" t="s">
        <v>416</v>
      </c>
      <c r="D2" s="4"/>
      <c r="F2" s="5"/>
      <c r="G2" s="5"/>
      <c r="J2" s="5"/>
      <c r="K2" s="6"/>
      <c r="L2" s="6"/>
      <c r="M2" s="6"/>
      <c r="O2" s="7"/>
      <c r="P2" s="7"/>
      <c r="Q2" s="7"/>
      <c r="R2" s="7"/>
      <c r="S2" s="7"/>
      <c r="X2" s="8"/>
      <c r="Y2" s="71"/>
      <c r="CO2" s="12"/>
      <c r="CP2" s="12"/>
      <c r="CQ2" s="12"/>
      <c r="CR2" s="12"/>
    </row>
    <row r="12" spans="2:96" x14ac:dyDescent="0.25">
      <c r="G12" s="20" t="s">
        <v>78</v>
      </c>
    </row>
    <row r="14" spans="2:96" x14ac:dyDescent="0.25">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15"/>
  <sheetViews>
    <sheetView showGridLines="0" workbookViewId="0">
      <pane ySplit="3" topLeftCell="A4" activePane="bottomLeft" state="frozen"/>
      <selection pane="bottomLeft"/>
    </sheetView>
  </sheetViews>
  <sheetFormatPr defaultRowHeight="13.2" x14ac:dyDescent="0.25"/>
  <cols>
    <col min="1" max="1" width="1.5546875" customWidth="1"/>
    <col min="2" max="2" width="2.44140625" customWidth="1"/>
    <col min="3" max="3" width="12.109375" customWidth="1"/>
    <col min="4" max="4" width="2.109375" customWidth="1"/>
    <col min="5" max="5" width="25.5546875" customWidth="1"/>
    <col min="6" max="6" width="20.44140625" customWidth="1"/>
    <col min="7" max="7" width="12.88671875" customWidth="1"/>
    <col min="8" max="8" width="2.5546875" customWidth="1"/>
    <col min="9" max="9" width="1.5546875" customWidth="1"/>
    <col min="10" max="12" width="13.554687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5.4"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4.4" thickTop="1" x14ac:dyDescent="0.25">
      <c r="B4" s="93"/>
      <c r="C4" s="93"/>
      <c r="D4" s="93"/>
      <c r="E4" s="93"/>
      <c r="F4" s="93"/>
      <c r="G4" s="93"/>
      <c r="H4" s="94"/>
      <c r="J4" s="104"/>
      <c r="K4" s="105"/>
      <c r="L4" s="106"/>
    </row>
    <row r="5" spans="2:95" ht="28.2" x14ac:dyDescent="0.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6" t="s">
        <v>512</v>
      </c>
      <c r="K10" s="227"/>
      <c r="L10" s="228"/>
    </row>
    <row r="11" spans="2:95" ht="15" customHeight="1" x14ac:dyDescent="0.25">
      <c r="B11" s="93"/>
      <c r="C11" s="93" t="s">
        <v>424</v>
      </c>
      <c r="D11" s="93" t="s">
        <v>108</v>
      </c>
      <c r="E11" s="101" t="s">
        <v>425</v>
      </c>
      <c r="F11" s="93"/>
      <c r="G11" s="93"/>
      <c r="H11" s="98"/>
      <c r="J11" s="226" t="s">
        <v>513</v>
      </c>
      <c r="K11" s="227"/>
      <c r="L11" s="228"/>
    </row>
    <row r="12" spans="2:95" ht="15" customHeight="1" x14ac:dyDescent="0.25">
      <c r="B12" s="93"/>
      <c r="C12" s="93" t="s">
        <v>426</v>
      </c>
      <c r="D12" s="93" t="s">
        <v>108</v>
      </c>
      <c r="E12" s="102" t="s">
        <v>427</v>
      </c>
      <c r="F12" s="93"/>
      <c r="G12" s="93"/>
      <c r="H12" s="98"/>
      <c r="J12" s="109"/>
      <c r="K12" s="229" t="s">
        <v>515</v>
      </c>
      <c r="L12" s="110"/>
    </row>
    <row r="13" spans="2:95" ht="15" customHeight="1" thickBot="1" x14ac:dyDescent="0.3">
      <c r="B13" s="93"/>
      <c r="C13" s="93"/>
      <c r="D13" s="93"/>
      <c r="E13" s="93"/>
      <c r="F13" s="93"/>
      <c r="G13" s="94"/>
      <c r="H13" s="98"/>
      <c r="J13" s="111"/>
      <c r="K13" s="230"/>
      <c r="L13" s="112"/>
    </row>
    <row r="14" spans="2:95" ht="13.8" thickTop="1" x14ac:dyDescent="0.25"/>
    <row r="15" spans="2:95" ht="15" x14ac:dyDescent="0.25">
      <c r="B15" s="231" t="s">
        <v>430</v>
      </c>
      <c r="C15" s="231"/>
      <c r="D15" s="231"/>
      <c r="E15" s="231"/>
      <c r="F15" s="231"/>
      <c r="G15" s="231"/>
      <c r="H15" s="231"/>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Team</vt:lpstr>
      <vt:lpstr>TimeZoneData</vt:lpstr>
      <vt:lpstr>TimeZoneList</vt:lpstr>
      <vt:lpstr>Translation</vt:lpstr>
      <vt:lpstr>TransRef</vt:lpstr>
      <vt:lpstr>Matches!WPrint_Area_W</vt:lpstr>
      <vt:lpstr>Setup!WPrint_Area_W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OWNER</cp:lastModifiedBy>
  <cp:lastPrinted>2024-03-19T05:51:54Z</cp:lastPrinted>
  <dcterms:created xsi:type="dcterms:W3CDTF">2022-06-15T04:56:38Z</dcterms:created>
  <dcterms:modified xsi:type="dcterms:W3CDTF">2024-06-24T06:58:39Z</dcterms:modified>
</cp:coreProperties>
</file>