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iterateDelta="1E-4"/>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H6" i="3"/>
  <c r="J6" i="3" s="1"/>
  <c r="G13" i="3"/>
  <c r="H12" i="3"/>
  <c r="F10" i="3"/>
  <c r="E14" i="3"/>
  <c r="F9" i="3"/>
  <c r="H18" i="3"/>
  <c r="F19" i="3"/>
  <c r="G14" i="3"/>
  <c r="H13" i="3"/>
  <c r="G19" i="3"/>
  <c r="I14" i="3"/>
  <c r="I4" i="3"/>
  <c r="F4" i="3"/>
  <c r="E9" i="3"/>
  <c r="G5" i="3"/>
  <c r="E19" i="3"/>
  <c r="H15" i="3"/>
  <c r="H9" i="3"/>
  <c r="J9" i="3" s="1"/>
  <c r="E12" i="3"/>
  <c r="H8" i="3"/>
  <c r="F18" i="3"/>
  <c r="G4" i="3"/>
  <c r="F13" i="3"/>
  <c r="I16" i="3"/>
  <c r="G15" i="3"/>
  <c r="E8" i="3"/>
  <c r="E16" i="3"/>
  <c r="G18" i="3"/>
  <c r="E17" i="3"/>
  <c r="K17" i="3" s="1"/>
  <c r="F8" i="3"/>
  <c r="E6" i="3"/>
  <c r="G6" i="3"/>
  <c r="I19" i="3"/>
  <c r="G17" i="3"/>
  <c r="G8" i="3"/>
  <c r="J14" i="3" l="1"/>
  <c r="K18" i="3"/>
  <c r="K5" i="3"/>
  <c r="K12" i="3"/>
  <c r="J15" i="3"/>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K13" i="3"/>
  <c r="D16" i="3"/>
  <c r="D8" i="3"/>
  <c r="N16" i="3" l="1"/>
  <c r="N17" i="3"/>
  <c r="N8" i="3"/>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Q19" i="3"/>
  <c r="O5" i="3"/>
  <c r="P5" i="3" s="1"/>
  <c r="Q4" i="3"/>
  <c r="Q6" i="3"/>
  <c r="O7" i="3"/>
  <c r="P7" i="3" s="1"/>
  <c r="Q7" i="3"/>
  <c r="O4" i="3"/>
  <c r="P4" i="3" s="1"/>
  <c r="Q14" i="3"/>
  <c r="O12" i="3"/>
  <c r="P12" i="3" s="1"/>
  <c r="Q12" i="3"/>
  <c r="O15" i="3"/>
  <c r="P15" i="3" s="1"/>
  <c r="O14" i="3"/>
  <c r="P14" i="3" s="1"/>
  <c r="Q13" i="3"/>
  <c r="O13" i="3"/>
  <c r="P13" i="3" s="1"/>
  <c r="Q15" i="3"/>
  <c r="R8" i="3" l="1"/>
  <c r="R5" i="3"/>
  <c r="R10" i="3"/>
  <c r="R4" i="3"/>
  <c r="R17" i="3"/>
  <c r="R15" i="3"/>
  <c r="R16" i="3"/>
  <c r="R12" i="3"/>
  <c r="R6" i="3"/>
  <c r="R11" i="3"/>
  <c r="R19" i="3"/>
  <c r="R9" i="3"/>
  <c r="R18" i="3"/>
  <c r="R14" i="3"/>
  <c r="R7" i="3"/>
  <c r="R13" i="3"/>
  <c r="S6" i="3" l="1"/>
  <c r="S7" i="3"/>
  <c r="S19" i="3"/>
  <c r="S9" i="3"/>
  <c r="S11" i="3"/>
  <c r="S18" i="3"/>
  <c r="S17" i="3"/>
  <c r="S15" i="3"/>
  <c r="S10" i="3"/>
  <c r="S8" i="3"/>
  <c r="S16" i="3"/>
  <c r="S4" i="3"/>
  <c r="S5" i="3"/>
  <c r="S14" i="3"/>
  <c r="S12" i="3"/>
  <c r="S13" i="3"/>
  <c r="U16" i="3" l="1"/>
  <c r="V16" i="3" s="1"/>
  <c r="U12" i="3"/>
  <c r="V12" i="3" s="1"/>
  <c r="U18" i="3"/>
  <c r="V18"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6" i="3"/>
  <c r="A12" i="3" l="1"/>
  <c r="X17" i="3"/>
  <c r="X18" i="3" s="1"/>
  <c r="V19" i="3"/>
  <c r="Y18" i="3" s="1"/>
  <c r="Y19" i="3" s="1"/>
  <c r="BB18" i="3" s="1"/>
  <c r="V17" i="3"/>
  <c r="W16" i="3" s="1"/>
  <c r="W17" i="3" s="1"/>
  <c r="W18" i="3" s="1"/>
  <c r="X5" i="3"/>
  <c r="X6" i="3" s="1"/>
  <c r="A18" i="3"/>
  <c r="A9" i="3"/>
  <c r="W8" i="3"/>
  <c r="W9" i="3" s="1"/>
  <c r="A8" i="3"/>
  <c r="V8" i="3"/>
  <c r="V10" i="3"/>
  <c r="X9" i="3" s="1"/>
  <c r="A5" i="3"/>
  <c r="Y14" i="3"/>
  <c r="Y15" i="3" s="1"/>
  <c r="BA14" i="3" s="1"/>
  <c r="A13" i="3"/>
  <c r="A11" i="3"/>
  <c r="W4" i="3"/>
  <c r="W5" i="3" s="1"/>
  <c r="V4" i="3"/>
  <c r="A6" i="3"/>
  <c r="V7" i="3"/>
  <c r="Y6" i="3" s="1"/>
  <c r="A14" i="3"/>
  <c r="A15" i="3"/>
  <c r="AX10" i="3"/>
  <c r="BA11" i="3"/>
  <c r="BB11" i="3"/>
  <c r="AZ11" i="3"/>
  <c r="AY11" i="3"/>
  <c r="AX11" i="3"/>
  <c r="AY10" i="3"/>
  <c r="X15" i="3"/>
  <c r="AO14" i="3" s="1"/>
  <c r="W14" i="3"/>
  <c r="AZ10" i="3"/>
  <c r="BB10" i="3"/>
  <c r="BC10" i="3" s="1"/>
  <c r="BB15" i="3" l="1"/>
  <c r="BA19" i="3"/>
  <c r="AZ18" i="3"/>
  <c r="AY19" i="3"/>
  <c r="BB19" i="3"/>
  <c r="AZ19" i="3"/>
  <c r="AX18" i="3"/>
  <c r="AY18" i="3"/>
  <c r="AX19" i="3"/>
  <c r="BA18" i="3"/>
  <c r="BC18" i="3" s="1"/>
  <c r="AX14" i="3"/>
  <c r="AX15" i="3"/>
  <c r="X7" i="3"/>
  <c r="AM6" i="3" s="1"/>
  <c r="W10" i="3"/>
  <c r="W11" i="3" s="1"/>
  <c r="Z8" i="3" s="1"/>
  <c r="X10" i="3"/>
  <c r="X11" i="3" s="1"/>
  <c r="AO10" i="3" s="1"/>
  <c r="AY15" i="3"/>
  <c r="BA15" i="3"/>
  <c r="BC15" i="3" s="1"/>
  <c r="AZ15" i="3"/>
  <c r="BB14" i="3"/>
  <c r="BC14" i="3" s="1"/>
  <c r="AZ14" i="3"/>
  <c r="AY14" i="3"/>
  <c r="Y7" i="3"/>
  <c r="BB6" i="3" s="1"/>
  <c r="X19" i="3"/>
  <c r="AM18" i="3" s="1"/>
  <c r="BD10" i="3"/>
  <c r="AN14" i="3"/>
  <c r="AN13" i="3"/>
  <c r="AL14" i="3"/>
  <c r="AP14" i="3"/>
  <c r="AQ14" i="3" s="1"/>
  <c r="AM14" i="3"/>
  <c r="BC19" i="3"/>
  <c r="W19" i="3"/>
  <c r="AB16" i="3" s="1"/>
  <c r="BD11" i="3"/>
  <c r="BC11" i="3"/>
  <c r="W6" i="3"/>
  <c r="W15" i="3"/>
  <c r="AA14" i="3" s="1"/>
  <c r="AS15" i="3"/>
  <c r="AO15" i="3"/>
  <c r="AV15" i="3"/>
  <c r="AT15" i="3"/>
  <c r="AP15" i="3"/>
  <c r="AN15" i="3"/>
  <c r="AM15" i="3"/>
  <c r="AL15" i="3"/>
  <c r="AO13" i="3"/>
  <c r="AL13" i="3"/>
  <c r="AM13" i="3"/>
  <c r="AP13" i="3"/>
  <c r="BD18" i="3" l="1"/>
  <c r="AM5" i="3"/>
  <c r="BD19" i="3"/>
  <c r="AN5" i="3"/>
  <c r="AN7" i="3"/>
  <c r="AP5" i="3"/>
  <c r="AN6" i="3"/>
  <c r="AV7" i="3"/>
  <c r="AP6" i="3"/>
  <c r="AO7" i="3"/>
  <c r="AP7" i="3"/>
  <c r="AT7" i="3"/>
  <c r="AO6" i="3"/>
  <c r="BD14" i="3"/>
  <c r="AO5" i="3"/>
  <c r="AQ5" i="3" s="1"/>
  <c r="AL6" i="3"/>
  <c r="AR6" i="3" s="1"/>
  <c r="AM7" i="3"/>
  <c r="AL7" i="3"/>
  <c r="AS11" i="3"/>
  <c r="AL10" i="3"/>
  <c r="AP10" i="3"/>
  <c r="AQ10" i="3" s="1"/>
  <c r="AM9" i="3"/>
  <c r="AP11" i="3"/>
  <c r="AL5" i="3"/>
  <c r="AS7" i="3"/>
  <c r="BD15" i="3"/>
  <c r="AP9" i="3"/>
  <c r="AO9" i="3"/>
  <c r="AL11" i="3"/>
  <c r="AT11" i="3"/>
  <c r="AM10" i="3"/>
  <c r="AN9" i="3"/>
  <c r="AN11" i="3"/>
  <c r="AV11" i="3"/>
  <c r="AL9" i="3"/>
  <c r="AM11" i="3"/>
  <c r="AO11" i="3"/>
  <c r="AN10" i="3"/>
  <c r="BA7" i="3"/>
  <c r="AY6" i="3"/>
  <c r="AY7" i="3"/>
  <c r="AZ6" i="3"/>
  <c r="AX6" i="3"/>
  <c r="BB7" i="3"/>
  <c r="BA6" i="3"/>
  <c r="BC6" i="3" s="1"/>
  <c r="AZ7" i="3"/>
  <c r="AX7" i="3"/>
  <c r="AL17" i="3"/>
  <c r="AL18" i="3"/>
  <c r="AR18" i="3" s="1"/>
  <c r="AN19" i="3"/>
  <c r="AN18" i="3"/>
  <c r="AT19" i="3"/>
  <c r="AP17" i="3"/>
  <c r="AL19" i="3"/>
  <c r="AO19" i="3"/>
  <c r="AO18" i="3"/>
  <c r="AN17" i="3"/>
  <c r="AO17" i="3"/>
  <c r="AV19" i="3"/>
  <c r="AS19" i="3"/>
  <c r="AU19" i="3" s="1"/>
  <c r="AP18" i="3"/>
  <c r="AM17" i="3"/>
  <c r="AM19" i="3"/>
  <c r="AP19" i="3"/>
  <c r="AB10" i="3"/>
  <c r="AR14" i="3"/>
  <c r="AB8" i="3"/>
  <c r="Z16" i="3"/>
  <c r="AA18" i="3"/>
  <c r="AC17" i="3"/>
  <c r="AD17" i="3"/>
  <c r="AA12" i="3"/>
  <c r="AC10" i="3"/>
  <c r="AC14" i="3"/>
  <c r="AQ13" i="3"/>
  <c r="AU15" i="3"/>
  <c r="Z10" i="3"/>
  <c r="AC16" i="3"/>
  <c r="Z18" i="3"/>
  <c r="AC8" i="3"/>
  <c r="AA8" i="3"/>
  <c r="AF8" i="3" s="1"/>
  <c r="AA10" i="3"/>
  <c r="AD10" i="3"/>
  <c r="AA16" i="3"/>
  <c r="AD18" i="3"/>
  <c r="AC18"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D16" i="3"/>
  <c r="AB18" i="3"/>
  <c r="AQ15" i="3"/>
  <c r="AC12" i="3"/>
  <c r="AC15" i="3"/>
  <c r="AD15" i="3"/>
  <c r="AB15" i="3"/>
  <c r="AA15" i="3"/>
  <c r="Z15" i="3"/>
  <c r="AB13" i="3"/>
  <c r="AB12" i="3"/>
  <c r="AA13" i="3"/>
  <c r="AD12" i="3"/>
  <c r="Z13" i="3"/>
  <c r="AC13" i="3"/>
  <c r="AD13" i="3"/>
  <c r="Z12" i="3"/>
  <c r="AR5" i="3" l="1"/>
  <c r="AQ7" i="3"/>
  <c r="AQ6" i="3"/>
  <c r="AU7" i="3"/>
  <c r="AR7" i="3"/>
  <c r="AR11" i="3"/>
  <c r="AU11" i="3"/>
  <c r="AR10" i="3"/>
  <c r="AQ11" i="3"/>
  <c r="AR9" i="3"/>
  <c r="AS9" i="3" s="1"/>
  <c r="AQ9" i="3"/>
  <c r="BC7" i="3"/>
  <c r="AS5" i="3"/>
  <c r="BD7" i="3"/>
  <c r="BD6" i="3"/>
  <c r="AR17" i="3"/>
  <c r="AS17" i="3" s="1"/>
  <c r="AQ17" i="3"/>
  <c r="AR19" i="3"/>
  <c r="AQ19" i="3"/>
  <c r="AQ18" i="3"/>
  <c r="AF10" i="3"/>
  <c r="AS6" i="3"/>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C7" i="3"/>
  <c r="AD7" i="3"/>
  <c r="AA7" i="3"/>
  <c r="Z7" i="3"/>
  <c r="AB7" i="3"/>
  <c r="Z5" i="3"/>
  <c r="AC5" i="3"/>
  <c r="AA5" i="3"/>
  <c r="AE9" i="3"/>
  <c r="AC6" i="3"/>
  <c r="AS18" i="3" l="1"/>
  <c r="AT17" i="3" s="1"/>
  <c r="AU17" i="3" s="1"/>
  <c r="AT14" i="3"/>
  <c r="AT5" i="3"/>
  <c r="AU5" i="3" s="1"/>
  <c r="AS10" i="3"/>
  <c r="AT9" i="3" s="1"/>
  <c r="AU9" i="3" s="1"/>
  <c r="AF6" i="3"/>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T18" i="3" l="1"/>
  <c r="AU18" i="3" s="1"/>
  <c r="AV18" i="3" s="1"/>
  <c r="AT10" i="3"/>
  <c r="AU10" i="3" s="1"/>
  <c r="AV10" i="3" s="1"/>
  <c r="AG7" i="3"/>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V17" i="3" l="1"/>
  <c r="AV9" i="3"/>
  <c r="AH6" i="3"/>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<sst xmlns="http://schemas.openxmlformats.org/spreadsheetml/2006/main" count="750" uniqueCount="518">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</sst>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 xmlns:a16="http://schemas.microsoft.com/office/drawing/2014/main"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 xmlns:a16="http://schemas.microsoft.com/office/drawing/2014/main"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 xmlns:a16="http://schemas.microsoft.com/office/drawing/2014/main"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 xmlns:a16="http://schemas.microsoft.com/office/drawing/2014/main"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4" activePane="bottomLeft" state="frozen"/>
      <selection activeCell="H10" sqref="H10"/>
      <selection pane="bottomLeft" activeCell="I17" sqref="I17"/>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24" t="s">
        <v>517</v>
      </c>
      <c r="Q2" s="224"/>
      <c r="R2" s="224"/>
      <c r="S2" s="224"/>
      <c r="T2" s="224"/>
      <c r="U2" s="224"/>
      <c r="V2" s="224"/>
      <c r="W2" s="224"/>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25" t="str">
        <f>INDEX(Translation,MATCH("Score",TransRef,0),MATCH(Setup!C5,LanguageRef,0))</f>
        <v>Score</v>
      </c>
      <c r="I3" s="225"/>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5" t="str">
        <f>INDEX(Translation,MATCH("Group A",TransRef,0),MATCH(Setup!$C$5,LanguageRef,0))</f>
        <v>Group A</v>
      </c>
      <c r="Q4" s="215"/>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2</v>
      </c>
      <c r="S5" s="75">
        <f>VLOOKUP($Q5,Calculator!$C$4:$K$35,3,FALSE)</f>
        <v>2</v>
      </c>
      <c r="T5" s="75">
        <f>VLOOKUP($Q5,Calculator!$C$4:$K$35,4,FALSE)</f>
        <v>0</v>
      </c>
      <c r="U5" s="75">
        <f>VLOOKUP($Q5,Calculator!$C$4:$K$35,5,FALSE)</f>
        <v>0</v>
      </c>
      <c r="V5" s="75" t="str">
        <f>VLOOKUP($Q5,Calculator!$C$4:$K$35,6,FALSE)&amp;" - "&amp;VLOOKUP($Q5,Calculator!$C$4:$K$35,7,FALSE)</f>
        <v>3 - 0</v>
      </c>
      <c r="W5" s="75">
        <f>VLOOKUP($Q5,Calculator!$C$4:$K$35,9,FALSE)</f>
        <v>6</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v>0</v>
      </c>
      <c r="I6" s="116">
        <v>0</v>
      </c>
      <c r="J6" s="33"/>
      <c r="K6" s="34" t="str">
        <f>INDEX(Translation,MATCH(Setup!B10,TransRef,0),MATCH(Setup!$C$5,LanguageRef,0))</f>
        <v>Chile</v>
      </c>
      <c r="L6" s="34"/>
      <c r="M6" s="34"/>
      <c r="N6" s="178" t="s">
        <v>454</v>
      </c>
      <c r="O6" s="7"/>
      <c r="P6" s="75">
        <v>2</v>
      </c>
      <c r="Q6" s="76" t="str">
        <f>INDEX(Calculator!$U$4:$U$7,MATCH(2,Calculator!$BK$4:$BK$7,0),0)</f>
        <v>Canada</v>
      </c>
      <c r="R6" s="75">
        <f>VLOOKUP($Q6,Calculator!$C$4:$K$35,2,FALSE)</f>
        <v>2</v>
      </c>
      <c r="S6" s="75">
        <f>VLOOKUP($Q6,Calculator!$C$4:$K$35,3,FALSE)</f>
        <v>1</v>
      </c>
      <c r="T6" s="75">
        <f>VLOOKUP($Q6,Calculator!$C$4:$K$35,4,FALSE)</f>
        <v>0</v>
      </c>
      <c r="U6" s="75">
        <f>VLOOKUP($Q6,Calculator!$C$4:$K$35,5,FALSE)</f>
        <v>1</v>
      </c>
      <c r="V6" s="75" t="str">
        <f>VLOOKUP($Q6,Calculator!$C$4:$K$35,6,FALSE)&amp;" - "&amp;VLOOKUP($Q6,Calculator!$C$4:$K$35,7,FALSE)</f>
        <v>1 - 2</v>
      </c>
      <c r="W6" s="75">
        <f>VLOOKUP($Q6,Calculator!$C$4:$K$35,9,FALSE)</f>
        <v>3</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v>1</v>
      </c>
      <c r="I7" s="116">
        <v>2</v>
      </c>
      <c r="J7" s="37"/>
      <c r="K7" s="2" t="str">
        <f>INDEX(Translation,MATCH(Setup!B14,TransRef,0),MATCH(Setup!$C$5,LanguageRef,0))</f>
        <v>Venezuela</v>
      </c>
      <c r="N7" s="179" t="s">
        <v>455</v>
      </c>
      <c r="O7" s="7"/>
      <c r="P7" s="38">
        <v>3</v>
      </c>
      <c r="Q7" s="39" t="str">
        <f>INDEX(Calculator!$U$4:$U$7,MATCH(3,Calculator!$BK$4:$BK$7,0),0)</f>
        <v>Peru</v>
      </c>
      <c r="R7" s="38">
        <f>VLOOKUP($Q7,Calculator!$C$4:$K$35,2,FALSE)</f>
        <v>2</v>
      </c>
      <c r="S7" s="38">
        <f>VLOOKUP($Q7,Calculator!$C$4:$K$35,3,FALSE)</f>
        <v>0</v>
      </c>
      <c r="T7" s="38">
        <f>VLOOKUP($Q7,Calculator!$C$4:$K$35,4,FALSE)</f>
        <v>1</v>
      </c>
      <c r="U7" s="38">
        <f>VLOOKUP($Q7,Calculator!$C$4:$K$35,5,FALSE)</f>
        <v>1</v>
      </c>
      <c r="V7" s="38" t="str">
        <f>VLOOKUP($Q7,Calculator!$C$4:$K$35,6,FALSE)&amp;" - "&amp;VLOOKUP($Q7,Calculator!$C$4:$K$35,7,FALSE)</f>
        <v>0 - 1</v>
      </c>
      <c r="W7" s="38">
        <f>VLOOKUP($Q7,Calculator!$C$4:$K$35,9,FALSE)</f>
        <v>1</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v>1</v>
      </c>
      <c r="I8" s="116">
        <v>0</v>
      </c>
      <c r="J8" s="33"/>
      <c r="K8" s="34" t="str">
        <f>INDEX(Translation,MATCH(Setup!B15,TransRef,0),MATCH(Setup!$C$5,LanguageRef,0))</f>
        <v>Jamaica</v>
      </c>
      <c r="L8" s="34"/>
      <c r="M8" s="34"/>
      <c r="N8" s="178" t="s">
        <v>456</v>
      </c>
      <c r="O8" s="7"/>
      <c r="P8" s="38">
        <v>4</v>
      </c>
      <c r="Q8" s="39" t="str">
        <f>INDEX(Calculator!$U$4:$U$7,MATCH(4,Calculator!$BK$4:$BK$7,0),0)</f>
        <v>Chile</v>
      </c>
      <c r="R8" s="38">
        <f>VLOOKUP($Q8,Calculator!$C$4:$K$35,2,FALSE)</f>
        <v>2</v>
      </c>
      <c r="S8" s="38">
        <f>VLOOKUP($Q8,Calculator!$C$4:$K$35,3,FALSE)</f>
        <v>0</v>
      </c>
      <c r="T8" s="38">
        <f>VLOOKUP($Q8,Calculator!$C$4:$K$35,4,FALSE)</f>
        <v>1</v>
      </c>
      <c r="U8" s="38">
        <f>VLOOKUP($Q8,Calculator!$C$4:$K$35,5,FALSE)</f>
        <v>1</v>
      </c>
      <c r="V8" s="38" t="str">
        <f>VLOOKUP($Q8,Calculator!$C$4:$K$35,6,FALSE)&amp;" - "&amp;VLOOKUP($Q8,Calculator!$C$4:$K$35,7,FALSE)</f>
        <v>0 - 1</v>
      </c>
      <c r="W8" s="38">
        <f>VLOOKUP($Q8,Calculator!$C$4:$K$35,9,FALSE)</f>
        <v>1</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v>2</v>
      </c>
      <c r="I9" s="116">
        <v>0</v>
      </c>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v>3</v>
      </c>
      <c r="I10" s="116">
        <v>1</v>
      </c>
      <c r="J10" s="33"/>
      <c r="K10" s="34" t="str">
        <f>INDEX(Translation,MATCH(Setup!B18,TransRef,0),MATCH(Setup!$C$5,LanguageRef,0))</f>
        <v>Panama</v>
      </c>
      <c r="L10" s="34"/>
      <c r="M10" s="34"/>
      <c r="N10" s="178" t="s">
        <v>457</v>
      </c>
      <c r="O10" s="7"/>
      <c r="P10" s="215" t="str">
        <f>INDEX(Translation,MATCH("Group B",TransRef,0),MATCH(Setup!$C$5,LanguageRef,0))</f>
        <v>Group B</v>
      </c>
      <c r="Q10" s="215"/>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v>2</v>
      </c>
      <c r="I11" s="116">
        <v>1</v>
      </c>
      <c r="J11" s="37"/>
      <c r="K11" s="2" t="str">
        <f>INDEX(Translation,MATCH(Setup!B22,TransRef,0),MATCH(Setup!$C$5,LanguageRef,0))</f>
        <v>Paraguay</v>
      </c>
      <c r="N11" s="179" t="s">
        <v>456</v>
      </c>
      <c r="O11" s="7"/>
      <c r="P11" s="77">
        <v>1</v>
      </c>
      <c r="Q11" s="78" t="str">
        <f>INDEX(Calculator!$U$8:$U$11,MATCH(1,Calculator!$BK$8:$BK$11,0),0)</f>
        <v>Venezuela</v>
      </c>
      <c r="R11" s="77">
        <f>VLOOKUP($Q11,Calculator!$C$4:$K$35,2,FALSE)</f>
        <v>2</v>
      </c>
      <c r="S11" s="77">
        <f>VLOOKUP($Q11,Calculator!$C$4:$K$35,3,FALSE)</f>
        <v>2</v>
      </c>
      <c r="T11" s="77">
        <f>VLOOKUP($Q11,Calculator!$C$4:$K$35,4,FALSE)</f>
        <v>0</v>
      </c>
      <c r="U11" s="77">
        <f>VLOOKUP($Q11,Calculator!$C$4:$K$35,5,FALSE)</f>
        <v>0</v>
      </c>
      <c r="V11" s="77" t="str">
        <f>VLOOKUP($Q11,Calculator!$C$4:$K$35,6,FALSE)&amp;" - "&amp;VLOOKUP($Q11,Calculator!$C$4:$K$35,7,FALSE)</f>
        <v>3 - 1</v>
      </c>
      <c r="W11" s="77">
        <f>VLOOKUP($Q11,Calculator!$C$4:$K$35,9,FALSE)</f>
        <v>6</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v>0</v>
      </c>
      <c r="I12" s="116">
        <v>0</v>
      </c>
      <c r="J12" s="33"/>
      <c r="K12" s="34" t="str">
        <f>INDEX(Translation,MATCH(Setup!B23,TransRef,0),MATCH(Setup!$C$5,LanguageRef,0))</f>
        <v>Costa Rica</v>
      </c>
      <c r="L12" s="34"/>
      <c r="M12" s="34"/>
      <c r="N12" s="178" t="s">
        <v>458</v>
      </c>
      <c r="O12" s="7"/>
      <c r="P12" s="77">
        <v>2</v>
      </c>
      <c r="Q12" s="78" t="str">
        <f>INDEX(Calculator!$U$8:$U$11,MATCH(2,Calculator!$BK$8:$BK$11,0),0)</f>
        <v>Ecuador</v>
      </c>
      <c r="R12" s="77">
        <f>VLOOKUP($Q12,Calculator!$C$4:$K$35,2,FALSE)</f>
        <v>2</v>
      </c>
      <c r="S12" s="77">
        <f>VLOOKUP($Q12,Calculator!$C$4:$K$35,3,FALSE)</f>
        <v>1</v>
      </c>
      <c r="T12" s="77">
        <f>VLOOKUP($Q12,Calculator!$C$4:$K$35,4,FALSE)</f>
        <v>0</v>
      </c>
      <c r="U12" s="77">
        <f>VLOOKUP($Q12,Calculator!$C$4:$K$35,5,FALSE)</f>
        <v>1</v>
      </c>
      <c r="V12" s="77" t="str">
        <f>VLOOKUP($Q12,Calculator!$C$4:$K$35,6,FALSE)&amp;" - "&amp;VLOOKUP($Q12,Calculator!$C$4:$K$35,7,FALSE)</f>
        <v>4 - 3</v>
      </c>
      <c r="W12" s="77">
        <f>VLOOKUP($Q12,Calculator!$C$4:$K$35,9,FALSE)</f>
        <v>3</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v>0</v>
      </c>
      <c r="I13" s="116">
        <v>1</v>
      </c>
      <c r="J13" s="37"/>
      <c r="K13" s="2" t="str">
        <f>K5</f>
        <v>Canada</v>
      </c>
      <c r="N13" s="179" t="s">
        <v>459</v>
      </c>
      <c r="O13" s="7"/>
      <c r="P13" s="38">
        <v>3</v>
      </c>
      <c r="Q13" s="39" t="str">
        <f>INDEX(Calculator!$U$8:$U$11,MATCH(3,Calculator!$BK$8:$BK$11,0),0)</f>
        <v>Mexico</v>
      </c>
      <c r="R13" s="38">
        <f>VLOOKUP($Q13,Calculator!$C$4:$K$35,2,FALSE)</f>
        <v>2</v>
      </c>
      <c r="S13" s="38">
        <f>VLOOKUP($Q13,Calculator!$C$4:$K$35,3,FALSE)</f>
        <v>1</v>
      </c>
      <c r="T13" s="38">
        <f>VLOOKUP($Q13,Calculator!$C$4:$K$35,4,FALSE)</f>
        <v>0</v>
      </c>
      <c r="U13" s="38">
        <f>VLOOKUP($Q13,Calculator!$C$4:$K$35,5,FALSE)</f>
        <v>1</v>
      </c>
      <c r="V13" s="38" t="str">
        <f>VLOOKUP($Q13,Calculator!$C$4:$K$35,6,FALSE)&amp;" - "&amp;VLOOKUP($Q13,Calculator!$C$4:$K$35,7,FALSE)</f>
        <v>1 - 1</v>
      </c>
      <c r="W13" s="38">
        <f>VLOOKUP($Q13,Calculator!$C$4:$K$35,9,FALSE)</f>
        <v>3</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v>0</v>
      </c>
      <c r="I14" s="116">
        <v>1</v>
      </c>
      <c r="J14" s="33"/>
      <c r="K14" s="34" t="str">
        <f>F5</f>
        <v>Argentina</v>
      </c>
      <c r="L14" s="34"/>
      <c r="M14" s="34"/>
      <c r="N14" s="178" t="s">
        <v>460</v>
      </c>
      <c r="O14" s="7"/>
      <c r="P14" s="38">
        <v>4</v>
      </c>
      <c r="Q14" s="39" t="str">
        <f>INDEX(Calculator!$U$8:$U$11,MATCH(4,Calculator!$BK$8:$BK$11,0),0)</f>
        <v>Jamaica</v>
      </c>
      <c r="R14" s="38">
        <f>VLOOKUP($Q14,Calculator!$C$4:$K$35,2,FALSE)</f>
        <v>2</v>
      </c>
      <c r="S14" s="38">
        <f>VLOOKUP($Q14,Calculator!$C$4:$K$35,3,FALSE)</f>
        <v>0</v>
      </c>
      <c r="T14" s="38">
        <f>VLOOKUP($Q14,Calculator!$C$4:$K$35,4,FALSE)</f>
        <v>0</v>
      </c>
      <c r="U14" s="38">
        <f>VLOOKUP($Q14,Calculator!$C$4:$K$35,5,FALSE)</f>
        <v>2</v>
      </c>
      <c r="V14" s="38" t="str">
        <f>VLOOKUP($Q14,Calculator!$C$4:$K$35,6,FALSE)&amp;" - "&amp;VLOOKUP($Q14,Calculator!$C$4:$K$35,7,FALSE)</f>
        <v>1 - 4</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v>3</v>
      </c>
      <c r="I15" s="116">
        <v>1</v>
      </c>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v>1</v>
      </c>
      <c r="I16" s="116">
        <v>0</v>
      </c>
      <c r="J16" s="33"/>
      <c r="K16" s="34" t="str">
        <f>F8</f>
        <v>Mexico</v>
      </c>
      <c r="L16" s="34"/>
      <c r="M16" s="34"/>
      <c r="N16" s="178" t="s">
        <v>458</v>
      </c>
      <c r="O16" s="7"/>
      <c r="P16" s="215" t="str">
        <f>INDEX(Translation,MATCH("Group C",TransRef,0),MATCH(Setup!$C$5,LanguageRef,0))</f>
        <v>Group C</v>
      </c>
      <c r="Q16" s="215"/>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Uruguay</v>
      </c>
      <c r="R17" s="79">
        <f>VLOOKUP($Q17,Calculator!$C$4:$K$35,2,FALSE)</f>
        <v>1</v>
      </c>
      <c r="S17" s="79">
        <f>VLOOKUP($Q17,Calculator!$C$4:$K$35,3,FALSE)</f>
        <v>1</v>
      </c>
      <c r="T17" s="79">
        <f>VLOOKUP($Q17,Calculator!$C$4:$K$35,4,FALSE)</f>
        <v>0</v>
      </c>
      <c r="U17" s="79">
        <f>VLOOKUP($Q17,Calculator!$C$4:$K$35,5,FALSE)</f>
        <v>0</v>
      </c>
      <c r="V17" s="79" t="str">
        <f>VLOOKUP($Q17,Calculator!$C$4:$K$35,6,FALSE)&amp;" - "&amp;VLOOKUP($Q17,Calculator!$C$4:$K$35,7,FALSE)</f>
        <v>3 - 1</v>
      </c>
      <c r="W17" s="79">
        <f>VLOOKUP($Q17,Calculator!$C$4:$K$35,9,FALSE)</f>
        <v>3</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United States</v>
      </c>
      <c r="R18" s="79">
        <f>VLOOKUP($Q18,Calculator!$C$4:$K$35,2,FALSE)</f>
        <v>1</v>
      </c>
      <c r="S18" s="79">
        <f>VLOOKUP($Q18,Calculator!$C$4:$K$35,3,FALSE)</f>
        <v>1</v>
      </c>
      <c r="T18" s="79">
        <f>VLOOKUP($Q18,Calculator!$C$4:$K$35,4,FALSE)</f>
        <v>0</v>
      </c>
      <c r="U18" s="79">
        <f>VLOOKUP($Q18,Calculator!$C$4:$K$35,5,FALSE)</f>
        <v>0</v>
      </c>
      <c r="V18" s="79" t="str">
        <f>VLOOKUP($Q18,Calculator!$C$4:$K$35,6,FALSE)&amp;" - "&amp;VLOOKUP($Q18,Calculator!$C$4:$K$35,7,FALSE)</f>
        <v>2 - 0</v>
      </c>
      <c r="W18" s="79">
        <f>VLOOKUP($Q18,Calculator!$C$4:$K$35,9,FALSE)</f>
        <v>3</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1</v>
      </c>
      <c r="S19" s="38">
        <f>VLOOKUP($Q19,Calculator!$C$4:$K$35,3,FALSE)</f>
        <v>0</v>
      </c>
      <c r="T19" s="38">
        <f>VLOOKUP($Q19,Calculator!$C$4:$K$35,4,FALSE)</f>
        <v>0</v>
      </c>
      <c r="U19" s="38">
        <f>VLOOKUP($Q19,Calculator!$C$4:$K$35,5,FALSE)</f>
        <v>1</v>
      </c>
      <c r="V19" s="38" t="str">
        <f>VLOOKUP($Q19,Calculator!$C$4:$K$35,6,FALSE)&amp;" - "&amp;VLOOKUP($Q19,Calculator!$C$4:$K$35,7,FALSE)</f>
        <v>1 - 3</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1</v>
      </c>
      <c r="S20" s="38">
        <f>VLOOKUP($Q20,Calculator!$C$4:$K$35,3,FALSE)</f>
        <v>0</v>
      </c>
      <c r="T20" s="38">
        <f>VLOOKUP($Q20,Calculator!$C$4:$K$35,4,FALSE)</f>
        <v>0</v>
      </c>
      <c r="U20" s="38">
        <f>VLOOKUP($Q20,Calculator!$C$4:$K$35,5,FALSE)</f>
        <v>1</v>
      </c>
      <c r="V20" s="38" t="str">
        <f>VLOOKUP($Q20,Calculator!$C$4:$K$35,6,FALSE)&amp;" - "&amp;VLOOKUP($Q20,Calculator!$C$4:$K$35,7,FALSE)</f>
        <v>0 - 2</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5" t="str">
        <f>INDEX(Translation,MATCH("Group D",TransRef,0),MATCH(Setup!$C$5,LanguageRef,0))</f>
        <v>Group D</v>
      </c>
      <c r="Q22" s="215"/>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Colombia</v>
      </c>
      <c r="R23" s="81">
        <f>VLOOKUP($Q23,Calculator!$C$4:$K$35,2,FALSE)</f>
        <v>1</v>
      </c>
      <c r="S23" s="81">
        <f>VLOOKUP($Q23,Calculator!$C$4:$K$35,3,FALSE)</f>
        <v>1</v>
      </c>
      <c r="T23" s="81">
        <f>VLOOKUP($Q23,Calculator!$C$4:$K$35,4,FALSE)</f>
        <v>0</v>
      </c>
      <c r="U23" s="81">
        <f>VLOOKUP($Q23,Calculator!$C$4:$K$35,5,FALSE)</f>
        <v>0</v>
      </c>
      <c r="V23" s="81" t="str">
        <f>VLOOKUP($Q23,Calculator!$C$4:$K$35,6,FALSE)&amp;" - "&amp;VLOOKUP($Q23,Calculator!$C$4:$K$35,7,FALSE)</f>
        <v>2 - 1</v>
      </c>
      <c r="W23" s="81">
        <f>VLOOKUP($Q23,Calculator!$C$4:$K$35,9,FALSE)</f>
        <v>3</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Brazil</v>
      </c>
      <c r="R24" s="81">
        <f>VLOOKUP($Q24,Calculator!$C$4:$K$35,2,FALSE)</f>
        <v>1</v>
      </c>
      <c r="S24" s="81">
        <f>VLOOKUP($Q24,Calculator!$C$4:$K$35,3,FALSE)</f>
        <v>0</v>
      </c>
      <c r="T24" s="81">
        <f>VLOOKUP($Q24,Calculator!$C$4:$K$35,4,FALSE)</f>
        <v>1</v>
      </c>
      <c r="U24" s="81">
        <f>VLOOKUP($Q24,Calculator!$C$4:$K$35,5,FALSE)</f>
        <v>0</v>
      </c>
      <c r="V24" s="81" t="str">
        <f>VLOOKUP($Q24,Calculator!$C$4:$K$35,6,FALSE)&amp;" - "&amp;VLOOKUP($Q24,Calculator!$C$4:$K$35,7,FALSE)</f>
        <v>0 - 0</v>
      </c>
      <c r="W24" s="81">
        <f>VLOOKUP($Q24,Calculator!$C$4:$K$35,9,FALSE)</f>
        <v>1</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1</v>
      </c>
      <c r="S25" s="38">
        <f>VLOOKUP($Q25,Calculator!$C$4:$K$35,3,FALSE)</f>
        <v>0</v>
      </c>
      <c r="T25" s="38">
        <f>VLOOKUP($Q25,Calculator!$C$4:$K$35,4,FALSE)</f>
        <v>1</v>
      </c>
      <c r="U25" s="38">
        <f>VLOOKUP($Q25,Calculator!$C$4:$K$35,5,FALSE)</f>
        <v>0</v>
      </c>
      <c r="V25" s="38" t="str">
        <f>VLOOKUP($Q25,Calculator!$C$4:$K$35,6,FALSE)&amp;" - "&amp;VLOOKUP($Q25,Calculator!$C$4:$K$35,7,FALSE)</f>
        <v>0 - 0</v>
      </c>
      <c r="W25" s="38">
        <f>VLOOKUP($Q25,Calculator!$C$4:$K$35,9,FALSE)</f>
        <v>1</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1</v>
      </c>
      <c r="S26" s="38">
        <f>VLOOKUP($Q26,Calculator!$C$4:$K$35,3,FALSE)</f>
        <v>0</v>
      </c>
      <c r="T26" s="38">
        <f>VLOOKUP($Q26,Calculator!$C$4:$K$35,4,FALSE)</f>
        <v>0</v>
      </c>
      <c r="U26" s="38">
        <f>VLOOKUP($Q26,Calculator!$C$4:$K$35,5,FALSE)</f>
        <v>1</v>
      </c>
      <c r="V26" s="38" t="str">
        <f>VLOOKUP($Q26,Calculator!$C$4:$K$35,6,FALSE)&amp;" - "&amp;VLOOKUP($Q26,Calculator!$C$4:$K$35,7,FALSE)</f>
        <v>1 - 2</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18" t="s">
        <v>67</v>
      </c>
      <c r="M29" s="218"/>
      <c r="N29" s="180"/>
      <c r="X29" s="8"/>
      <c r="Y29" s="71"/>
      <c r="CO29" s="12"/>
      <c r="CP29" s="12"/>
      <c r="CQ29" s="23"/>
      <c r="CR29" s="12"/>
    </row>
    <row r="30" spans="1:96" s="2" customFormat="1" ht="14.4" customHeight="1" x14ac:dyDescent="0.25">
      <c r="B30" s="43">
        <v>25</v>
      </c>
      <c r="C30" s="221"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2"/>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2"/>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2"/>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3"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3"/>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0" t="str">
        <f>UPPER(INDEX(Translation,MATCH("Copa America 2024 Champion",TransRef,0),MATCH(Setup!$C$5,LanguageRef,0)))</f>
        <v>COPA AMERICA 2024 CHAMPION</v>
      </c>
      <c r="C39" s="220"/>
      <c r="D39" s="220"/>
      <c r="E39" s="220"/>
      <c r="F39" s="220"/>
      <c r="G39" s="220"/>
      <c r="H39" s="220"/>
      <c r="I39" s="220"/>
      <c r="J39" s="220"/>
      <c r="K39" s="220"/>
      <c r="L39" s="220"/>
      <c r="M39" s="220"/>
      <c r="N39" s="220"/>
      <c r="O39" s="2"/>
      <c r="P39" s="216" t="str">
        <f>INDEX(Translation,MATCH("Second Place",TransRef,0),MATCH(Setup!$C$5,LanguageRef,0))</f>
        <v>Second place</v>
      </c>
      <c r="Q39" s="216"/>
      <c r="R39" s="216"/>
      <c r="S39" s="216"/>
      <c r="T39" s="216"/>
      <c r="U39" s="216"/>
      <c r="V39" s="216"/>
      <c r="W39" s="216"/>
      <c r="X39" s="8"/>
      <c r="Y39" s="71"/>
    </row>
    <row r="40" spans="1:96" ht="14.4" customHeight="1" x14ac:dyDescent="0.25">
      <c r="B40" s="220"/>
      <c r="C40" s="220"/>
      <c r="D40" s="220"/>
      <c r="E40" s="220"/>
      <c r="F40" s="220"/>
      <c r="G40" s="220"/>
      <c r="H40" s="220"/>
      <c r="I40" s="220"/>
      <c r="J40" s="220"/>
      <c r="K40" s="220"/>
      <c r="L40" s="220"/>
      <c r="M40" s="220"/>
      <c r="N40" s="220"/>
      <c r="O40" s="53"/>
      <c r="P40" s="217" t="str">
        <f>UPPER(IF(AND(H37&lt;&gt;"",I37&lt;&gt;""),IF((H37+L37)&lt;(I37+M37),F37,IF((H37+L37)&gt;(I37+M37),K37,INDEX(Translation,MATCH("Copa America 2024 Runner Up",TransRef,0),MATCH(Setup!C5,LanguageRef,0)))),INDEX(Translation,MATCH("Copa America 2024 Runner Up",TransRef,0),MATCH(Setup!C5,LanguageRef,0))))</f>
        <v>COPA AMERICA 2024 RUNNER UP</v>
      </c>
      <c r="Q40" s="217"/>
      <c r="R40" s="217"/>
      <c r="S40" s="217"/>
      <c r="T40" s="217"/>
      <c r="U40" s="217"/>
      <c r="V40" s="217"/>
      <c r="W40" s="217"/>
      <c r="X40" s="8"/>
      <c r="Y40" s="71"/>
    </row>
    <row r="41" spans="1:96" ht="14.4" customHeight="1" x14ac:dyDescent="0.25">
      <c r="B41" s="220"/>
      <c r="C41" s="220"/>
      <c r="D41" s="220"/>
      <c r="E41" s="220"/>
      <c r="F41" s="220"/>
      <c r="G41" s="220"/>
      <c r="H41" s="220"/>
      <c r="I41" s="220"/>
      <c r="J41" s="220"/>
      <c r="K41" s="220"/>
      <c r="L41" s="220"/>
      <c r="M41" s="220"/>
      <c r="N41" s="220"/>
      <c r="O41" s="2"/>
      <c r="P41" s="217"/>
      <c r="Q41" s="217"/>
      <c r="R41" s="217"/>
      <c r="S41" s="217"/>
      <c r="T41" s="217"/>
      <c r="U41" s="217"/>
      <c r="V41" s="217"/>
      <c r="W41" s="217"/>
      <c r="X41" s="8"/>
      <c r="Y41" s="71"/>
    </row>
    <row r="42" spans="1:96" ht="14.4" customHeight="1" x14ac:dyDescent="0.25">
      <c r="B42" s="219" t="str">
        <f>UPPER(IF(AND(H37&lt;&gt;"",I37&lt;&gt;""),IF((H37+L37)&gt;(I37+M37),F37,IF((H37+L37)&lt;(I37+M37),K37,INDEX(Translation,MATCH("Copa America 2024 Champion",TransRef,0),MATCH(Setup!C5,LanguageRef,0)))),INDEX(Translation,MATCH("Copa America 2024 Champion",TransRef,0),MATCH(Setup!C5,LanguageRef,0))))</f>
        <v>COPA AMERICA 2024 CHAMPION</v>
      </c>
      <c r="C42" s="219"/>
      <c r="D42" s="219"/>
      <c r="E42" s="219"/>
      <c r="F42" s="219"/>
      <c r="G42" s="219"/>
      <c r="H42" s="219"/>
      <c r="I42" s="219"/>
      <c r="J42" s="219"/>
      <c r="K42" s="219"/>
      <c r="L42" s="219"/>
      <c r="M42" s="219"/>
      <c r="N42" s="219"/>
      <c r="O42" s="2"/>
      <c r="P42" s="216" t="str">
        <f>INDEX(Translation,MATCH("Third Place",TransRef,0),MATCH(Setup!$C$5,LanguageRef,0))</f>
        <v>Third Place</v>
      </c>
      <c r="Q42" s="216"/>
      <c r="R42" s="216"/>
      <c r="S42" s="216"/>
      <c r="T42" s="216"/>
      <c r="U42" s="216"/>
      <c r="V42" s="216"/>
      <c r="W42" s="216"/>
      <c r="X42" s="8"/>
      <c r="Y42" s="71"/>
    </row>
    <row r="43" spans="1:96" ht="14.4" customHeight="1" x14ac:dyDescent="0.25">
      <c r="B43" s="219"/>
      <c r="C43" s="219"/>
      <c r="D43" s="219"/>
      <c r="E43" s="219"/>
      <c r="F43" s="219"/>
      <c r="G43" s="219"/>
      <c r="H43" s="219"/>
      <c r="I43" s="219"/>
      <c r="J43" s="219"/>
      <c r="K43" s="219"/>
      <c r="L43" s="219"/>
      <c r="M43" s="219"/>
      <c r="N43" s="219"/>
      <c r="O43" s="2"/>
      <c r="P43" s="217" t="str">
        <f>UPPER(IF(AND(H36&lt;&gt;"",I36&lt;&gt;""),IF((H36+L36)&gt;(I36+M36),F36,IF((H36+L36)&lt;(I36+M36),K36,INDEX(Translation,MATCH("Copa America 2024 3rd Place",TransRef,0),MATCH(Setup!C5,LanguageRef,0)))),INDEX(Translation,MATCH("Copa America 2024 3rd Place",TransRef,0),MATCH(Setup!C5,LanguageRef,0))))</f>
        <v>COPA AMERICA 2024 3RD PLACE</v>
      </c>
      <c r="Q43" s="217"/>
      <c r="R43" s="217"/>
      <c r="S43" s="217"/>
      <c r="T43" s="217"/>
      <c r="U43" s="217"/>
      <c r="V43" s="217"/>
      <c r="W43" s="217"/>
      <c r="X43" s="8"/>
      <c r="Y43" s="71"/>
    </row>
    <row r="44" spans="1:96" ht="14.4" customHeight="1" x14ac:dyDescent="0.25">
      <c r="B44" s="219"/>
      <c r="C44" s="219"/>
      <c r="D44" s="219"/>
      <c r="E44" s="219"/>
      <c r="F44" s="219"/>
      <c r="G44" s="219"/>
      <c r="H44" s="219"/>
      <c r="I44" s="219"/>
      <c r="J44" s="219"/>
      <c r="K44" s="219"/>
      <c r="L44" s="219"/>
      <c r="M44" s="219"/>
      <c r="N44" s="219"/>
      <c r="P44" s="217"/>
      <c r="Q44" s="217"/>
      <c r="R44" s="217"/>
      <c r="S44" s="217"/>
      <c r="T44" s="217"/>
      <c r="U44" s="217"/>
      <c r="V44" s="217"/>
      <c r="W44" s="217"/>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W2"/>
    <mergeCell ref="H3:I3"/>
    <mergeCell ref="P4:Q4"/>
    <mergeCell ref="P10:Q10"/>
    <mergeCell ref="P16:Q16"/>
    <mergeCell ref="P22:Q22"/>
    <mergeCell ref="P42:W42"/>
    <mergeCell ref="P43:W44"/>
    <mergeCell ref="L29:M29"/>
    <mergeCell ref="P40:W41"/>
    <mergeCell ref="P39:W39"/>
    <mergeCell ref="B42:N44"/>
    <mergeCell ref="B39:N41"/>
    <mergeCell ref="C30:C33"/>
    <mergeCell ref="C34:C35"/>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2</v>
      </c>
      <c r="E4" s="22">
        <f>SUMPRODUCT((Matches!H5:H28&lt;&gt;"")*(Matches!F5:F28=C4)*(Matches!H5:H28&gt;Matches!I5:I28)*1)+SUMPRODUCT((Matches!H5:H28&lt;&gt;"")*(Matches!K5:K28=C4)*(Matches!I5:I28&gt;Matches!H5:H28)*1)</f>
        <v>2</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3</v>
      </c>
      <c r="I4" s="22">
        <f>SUMIF(Matches!F5:F28,C4,Matches!I5:I28)+SUMIF(Matches!K5:K28,C4,Matches!H5:H28)</f>
        <v>0</v>
      </c>
      <c r="J4" s="22">
        <f>H4-I4</f>
        <v>3</v>
      </c>
      <c r="K4" s="22">
        <f>F4*1+E4*3</f>
        <v>6</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1455</v>
      </c>
      <c r="B5" s="22">
        <v>2</v>
      </c>
      <c r="C5" s="22" t="str">
        <f t="shared" ref="C5:C19" si="1">BZ8</f>
        <v>Peru</v>
      </c>
      <c r="D5" s="22">
        <f t="shared" ref="D5:D19" si="2">SUM(E5:G5)</f>
        <v>2</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1</v>
      </c>
      <c r="G5" s="22">
        <f>SUMPRODUCT((Matches!H5:H28&lt;&gt;"")*(Matches!F5:F28=C5)*(Matches!H5:H28&lt;Matches!I5:I28)*1)+SUMPRODUCT((Matches!H5:H28&lt;&gt;"")*(Matches!K5:K28=C5)*(Matches!I5:I28&lt;Matches!H5:H28)*1)</f>
        <v>1</v>
      </c>
      <c r="H5" s="22">
        <f>SUMIF(Matches!F5:F28,C5,Matches!H5:H28)+SUMIF(Matches!K5:K28,C5,Matches!I5:I28)</f>
        <v>0</v>
      </c>
      <c r="I5" s="22">
        <f>SUMIF(Matches!F5:F28,C5,Matches!I5:I28)+SUMIF(Matches!K5:K28,C5,Matches!H5:H28)</f>
        <v>1</v>
      </c>
      <c r="J5" s="22">
        <f t="shared" ref="J5:J19" si="3">H5-I5</f>
        <v>-1</v>
      </c>
      <c r="K5" s="22">
        <f t="shared" ref="K5:K19" si="4">F5*1+E5*3</f>
        <v>1</v>
      </c>
      <c r="L5" s="22">
        <f>Setup!E9</f>
        <v>1533</v>
      </c>
      <c r="M5" s="22">
        <f>IF(Setup!F9&lt;&gt;"",-Setup!F9,Setup!E9)</f>
        <v>1533</v>
      </c>
      <c r="N5" s="22">
        <f>RANK(K5,K4:K7)</f>
        <v>3</v>
      </c>
      <c r="O5" s="22">
        <f>SUMPRODUCT((N4:N7=N5)*(J4:J7&gt;J5)*1)</f>
        <v>0</v>
      </c>
      <c r="P5" s="22">
        <f t="shared" ref="P5:P19" si="5">N5+O5</f>
        <v>3</v>
      </c>
      <c r="Q5" s="22">
        <f>SUMPRODUCT((N4:N7=N5)*(J4:J7=J5)*(H4:H7&gt;H5)*1)</f>
        <v>0</v>
      </c>
      <c r="R5" s="22">
        <f t="shared" ref="R5:R19" si="6">P5+Q5</f>
        <v>3</v>
      </c>
      <c r="S5" s="22">
        <f>RANK(R5,R4:R7,1)+COUNTIF(R4:R5,R5)-1</f>
        <v>3</v>
      </c>
      <c r="T5" s="22">
        <v>2</v>
      </c>
      <c r="U5" s="22" t="str">
        <f>INDEX(C4:C7,MATCH(T5,S4:S7,0),0)</f>
        <v>Canada</v>
      </c>
      <c r="V5" s="22">
        <f>INDEX(R4:R7,MATCH(U5,C4:C7,0),0)</f>
        <v>2</v>
      </c>
      <c r="W5" s="22" t="str">
        <f>IF(W4&lt;&gt;"",U5,"")</f>
        <v/>
      </c>
      <c r="X5" s="22" t="str">
        <f>IF(V6=2,U5,"")</f>
        <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0</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0</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1533</v>
      </c>
      <c r="B6" s="22">
        <v>3</v>
      </c>
      <c r="C6" s="22" t="str">
        <f t="shared" si="1"/>
        <v>Chile</v>
      </c>
      <c r="D6" s="22">
        <f t="shared" si="2"/>
        <v>2</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1</v>
      </c>
      <c r="G6" s="22">
        <f>SUMPRODUCT((Matches!H5:H28&lt;&gt;"")*(Matches!F5:F28=C6)*(Matches!H5:H28&lt;Matches!I5:I28)*1)+SUMPRODUCT((Matches!H5:H28&lt;&gt;"")*(Matches!K5:K28=C6)*(Matches!I5:I28&lt;Matches!H5:H28)*1)</f>
        <v>1</v>
      </c>
      <c r="H6" s="22">
        <f>SUMIF(Matches!F5:F28,C6,Matches!H5:H28)+SUMIF(Matches!K5:K28,C6,Matches!I5:I28)</f>
        <v>0</v>
      </c>
      <c r="I6" s="22">
        <f>SUMIF(Matches!F5:F28,C6,Matches!I5:I28)+SUMIF(Matches!K5:K28,C6,Matches!H5:H28)</f>
        <v>1</v>
      </c>
      <c r="J6" s="22">
        <f t="shared" si="3"/>
        <v>-1</v>
      </c>
      <c r="K6" s="22">
        <f t="shared" si="4"/>
        <v>1</v>
      </c>
      <c r="L6" s="22">
        <f>Setup!E10</f>
        <v>1504</v>
      </c>
      <c r="M6" s="22">
        <f>IF(Setup!F10&lt;&gt;"",-Setup!F10,Setup!E10)</f>
        <v>1504</v>
      </c>
      <c r="N6" s="22">
        <f>RANK(K6,K4:K7)</f>
        <v>3</v>
      </c>
      <c r="O6" s="22">
        <f>SUMPRODUCT((N4:N7=N6)*(J4:J7&gt;J6)*1)</f>
        <v>0</v>
      </c>
      <c r="P6" s="22">
        <f t="shared" si="5"/>
        <v>3</v>
      </c>
      <c r="Q6" s="22">
        <f>SUMPRODUCT((N4:N7=N6)*(J4:J7=J6)*(H4:H7&gt;H6)*1)</f>
        <v>0</v>
      </c>
      <c r="R6" s="22">
        <f t="shared" si="6"/>
        <v>3</v>
      </c>
      <c r="S6" s="22">
        <f>IF(Matches!B45="© 2022 | journalSHEET.com",RANK(R6,R4:R7,1)+COUNTIF(R4:R6,R6)-1,2)</f>
        <v>4</v>
      </c>
      <c r="T6" s="22">
        <v>3</v>
      </c>
      <c r="U6" s="22" t="str">
        <f>INDEX(C4:C7,MATCH(T6,S4:S7,0),0)</f>
        <v>Peru</v>
      </c>
      <c r="V6" s="22">
        <f>INDEX(R4:R7,MATCH(U6,C4:C7,0),0)</f>
        <v>3</v>
      </c>
      <c r="W6" s="22" t="str">
        <f>IF(AND(W5&lt;&gt;"",V6=1),U6,"")</f>
        <v/>
      </c>
      <c r="X6" s="22" t="str">
        <f>IF(X5&lt;&gt;"",U6,"")</f>
        <v/>
      </c>
      <c r="Y6" s="22" t="str">
        <f>IF(V7=3,U6,"")</f>
        <v>Peru</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3</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0</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0</v>
      </c>
      <c r="AS6" s="22">
        <f>IF(X6&lt;&gt;"",SUMPRODUCT((V4:V7=V6)*(AR4:AR7&gt;AR6)*1),0)</f>
        <v>0</v>
      </c>
      <c r="AT6" s="22">
        <f>IF(X6&lt;&gt;"",SUMPRODUCT((AS4:AS7=AS6)*(AQ4:AQ7&gt;AQ6)*1),0)</f>
        <v>0</v>
      </c>
      <c r="AU6" s="22">
        <f t="shared" si="12"/>
        <v>0</v>
      </c>
      <c r="AV6" s="22">
        <f>IF(X6&lt;&gt;"",SUMPRODUCT((AU4:AU7=AU6)*(AS4:AS7=AS6)*(AO4:AO7&gt;AO6)*1),0)</f>
        <v>0</v>
      </c>
      <c r="AW6" s="22">
        <f t="shared" si="13"/>
        <v>3</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1</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1</v>
      </c>
      <c r="BE6" s="22">
        <f>IF(Y6&lt;&gt;"",SUMPRODUCT((AH4:AH7=AH6)*(BD4:BD7&gt;BD6)*1),0)</f>
        <v>0</v>
      </c>
      <c r="BF6" s="22">
        <f>IF(Y6&lt;&gt;"",SUMPRODUCT((BE4:BE7=BE6)*(BC4:BC7&gt;BC6)*1),0)</f>
        <v>0</v>
      </c>
      <c r="BG6" s="22">
        <f>BE6+BF6</f>
        <v>0</v>
      </c>
      <c r="BH6" s="22">
        <f>IF(Y6&lt;&gt;"",SUMPRODUCT((BG4:BG7=BG6)*(BE4:BE7=BE6)*(BA4:BA7&gt;BA6)*1),0)</f>
        <v>0</v>
      </c>
      <c r="BI6" s="22">
        <f t="shared" ref="BI6:BI19" si="17">AW6+BG6+BH6</f>
        <v>3</v>
      </c>
      <c r="BJ6" s="22">
        <f>SUMPRODUCT((BI4:BI7=BI6)*(A4:A7&gt;A6)*1)</f>
        <v>0</v>
      </c>
      <c r="BK6" s="22">
        <f t="shared" si="14"/>
        <v>3</v>
      </c>
      <c r="BM6" s="190"/>
      <c r="BN6" s="190"/>
      <c r="BO6" s="190"/>
      <c r="BP6" s="190"/>
      <c r="BQ6" s="190"/>
      <c r="BT6" s="22"/>
      <c r="BU6" s="22"/>
      <c r="BV6" s="22"/>
      <c r="BW6" s="191"/>
      <c r="BX6" s="22"/>
    </row>
    <row r="7" spans="1:78" ht="15" x14ac:dyDescent="0.25">
      <c r="A7" s="22">
        <f>INDEX(M4:M35,MATCH(U7,C4:C35,0),0)</f>
        <v>1504</v>
      </c>
      <c r="B7" s="22">
        <v>4</v>
      </c>
      <c r="C7" s="22" t="str">
        <f t="shared" si="1"/>
        <v>Canada</v>
      </c>
      <c r="D7" s="22">
        <f t="shared" si="2"/>
        <v>2</v>
      </c>
      <c r="E7" s="22">
        <f>SUMPRODUCT((Matches!H5:H28&lt;&gt;"")*(Matches!F5:F28=C7)*(Matches!H5:H28&gt;Matches!I5:I28)*1)+SUMPRODUCT((Matches!H5:H28&lt;&gt;"")*(Matches!K5:K28=C7)*(Matches!I5:I28&gt;Matches!H5:H28)*1)</f>
        <v>1</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1</v>
      </c>
      <c r="I7" s="22">
        <f>SUMIF(Matches!F5:F28,C7,Matches!I5:I28)+SUMIF(Matches!K5:K28,C7,Matches!H5:H28)</f>
        <v>2</v>
      </c>
      <c r="J7" s="22">
        <f t="shared" si="3"/>
        <v>-1</v>
      </c>
      <c r="K7" s="22">
        <f t="shared" si="4"/>
        <v>3</v>
      </c>
      <c r="L7" s="22">
        <f>Setup!E11</f>
        <v>1455</v>
      </c>
      <c r="M7" s="22">
        <f>IF(Setup!F11&lt;&gt;"",-Setup!F11,Setup!E11)</f>
        <v>1455</v>
      </c>
      <c r="N7" s="22">
        <f>RANK(K7,K4:K7)</f>
        <v>2</v>
      </c>
      <c r="O7" s="22">
        <f>SUMPRODUCT((N4:N7=N7)*(J4:J7&gt;J7)*1)</f>
        <v>0</v>
      </c>
      <c r="P7" s="22">
        <f t="shared" si="5"/>
        <v>2</v>
      </c>
      <c r="Q7" s="22">
        <f>SUMPRODUCT((N4:N7=N7)*(J4:J7=J7)*(H4:H7&gt;H7)*1)</f>
        <v>0</v>
      </c>
      <c r="R7" s="22">
        <f t="shared" si="6"/>
        <v>2</v>
      </c>
      <c r="S7" s="22">
        <f>RANK(R7,R4:R7,1)+COUNTIF(R4:R7,R7)-1</f>
        <v>2</v>
      </c>
      <c r="T7" s="22">
        <v>4</v>
      </c>
      <c r="U7" s="22" t="str">
        <f>INDEX(C4:C7,MATCH(T7,S4:S7,0),0)</f>
        <v>Chile</v>
      </c>
      <c r="V7" s="22">
        <f>INDEX(R4:R7,MATCH(U7,C4:C7,0),0)</f>
        <v>3</v>
      </c>
      <c r="W7" s="22" t="str">
        <f>IF(AND(W6&lt;&gt;"",V7=1),U7,"")</f>
        <v/>
      </c>
      <c r="X7" s="22" t="str">
        <f>IF(AND(X6&lt;&gt;"",V7=2),U7,"")</f>
        <v/>
      </c>
      <c r="Y7" s="22" t="str">
        <f>IF(AND(Y6&lt;&gt;"",V7=3),U7,"")</f>
        <v>Chile</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3</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3</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1</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1</v>
      </c>
      <c r="BE7" s="22">
        <f>IF(Y7&lt;&gt;"",SUMPRODUCT((AH4:AH7=AH7)*(BD4:BD7&gt;BD7)*1),0)</f>
        <v>0</v>
      </c>
      <c r="BF7" s="22">
        <f>IF(Y7&lt;&gt;"",SUMPRODUCT((BE4:BE7=BE7)*(BC4:BC7&gt;BC7)*1),0)</f>
        <v>0</v>
      </c>
      <c r="BG7" s="22">
        <f>BE7+BF7</f>
        <v>0</v>
      </c>
      <c r="BH7" s="22">
        <f>IF(Y7&lt;&gt;"",SUMPRODUCT((BG4:BG7=BG7)*(BE4:BE7=BE7)*(BA4:BA7&gt;BA7)*1),0)</f>
        <v>0</v>
      </c>
      <c r="BI7" s="22">
        <f t="shared" si="17"/>
        <v>3</v>
      </c>
      <c r="BJ7" s="22">
        <f>SUMPRODUCT((BI4:BI7=BI7)*(A4:A7&gt;A7)*1)</f>
        <v>1</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8</v>
      </c>
      <c r="BZ7" s="189" t="str">
        <f>INDEX(Language!$A$1:$K$80,MATCH(Setup!B8,Language!$B$1:$B$80,0),MATCH(Setup!$C$5,Language!$A$1:$J$1,0))</f>
        <v>Argentina</v>
      </c>
    </row>
    <row r="8" spans="1:78" x14ac:dyDescent="0.25">
      <c r="A8" s="22">
        <f>INDEX(M4:M35,MATCH(U8,C4:C35,0),0)</f>
        <v>1446</v>
      </c>
      <c r="B8" s="22">
        <f>B4</f>
        <v>1</v>
      </c>
      <c r="C8" s="22" t="str">
        <f t="shared" si="1"/>
        <v>Mexico</v>
      </c>
      <c r="D8" s="22">
        <f t="shared" si="2"/>
        <v>2</v>
      </c>
      <c r="E8" s="22">
        <f>SUMPRODUCT((Matches!H5:H28&lt;&gt;"")*(Matches!F5:F28=C8)*(Matches!H5:H28&gt;Matches!I5:I28)*1)+SUMPRODUCT((Matches!H5:H28&lt;&gt;"")*(Matches!K5:K28=C8)*(Matches!I5:I28&gt;Matches!H5:H28)*1)</f>
        <v>1</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1</v>
      </c>
      <c r="H8" s="22">
        <f>SUMIF(Matches!F5:F28,C8,Matches!H5:H28)+SUMIF(Matches!K5:K28,C8,Matches!I5:I28)</f>
        <v>1</v>
      </c>
      <c r="I8" s="22">
        <f>SUMIF(Matches!F5:F28,C8,Matches!I5:I28)+SUMIF(Matches!K5:K28,C8,Matches!H5:H28)</f>
        <v>1</v>
      </c>
      <c r="J8" s="22">
        <f t="shared" si="3"/>
        <v>0</v>
      </c>
      <c r="K8" s="22">
        <f t="shared" si="4"/>
        <v>3</v>
      </c>
      <c r="L8" s="22">
        <f>Setup!E12</f>
        <v>1664</v>
      </c>
      <c r="M8" s="22">
        <f>IF(Setup!F12&lt;&gt;"",-Setup!F12,Setup!E12)</f>
        <v>1664</v>
      </c>
      <c r="N8" s="22">
        <f>RANK(K8,K8:K11)</f>
        <v>2</v>
      </c>
      <c r="O8" s="22">
        <f>SUMPRODUCT((N8:N11=N8)*(J8:J11&gt;J8)*1)</f>
        <v>1</v>
      </c>
      <c r="P8" s="22">
        <f t="shared" si="5"/>
        <v>3</v>
      </c>
      <c r="Q8" s="22">
        <f>SUMPRODUCT((N8:N11=N8)*(J8:J11=J8)*(H8:H11&gt;H8)*1)</f>
        <v>0</v>
      </c>
      <c r="R8" s="22">
        <f t="shared" si="6"/>
        <v>3</v>
      </c>
      <c r="S8" s="22">
        <f>RANK(R8,R8:R11,1)+COUNTIF(R8:R8,R8)-1</f>
        <v>3</v>
      </c>
      <c r="T8" s="22">
        <v>1</v>
      </c>
      <c r="U8" s="22" t="str">
        <f t="shared" ref="U8" si="20">INDEX(C8:C11,MATCH(T8,S8:S11,0),0)</f>
        <v>Venezuela</v>
      </c>
      <c r="V8" s="22">
        <f>INDEX(R8:R11,MATCH(U8,C8:C11,0),0)</f>
        <v>1</v>
      </c>
      <c r="W8" s="22" t="str">
        <f t="shared" ref="W8" si="21">IF(V9=1,U8,"")</f>
        <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0</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0</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1508</v>
      </c>
      <c r="B9" s="22">
        <f t="shared" ref="B9:B19" si="25">B5</f>
        <v>2</v>
      </c>
      <c r="C9" s="22" t="str">
        <f t="shared" si="1"/>
        <v>Ecuador</v>
      </c>
      <c r="D9" s="22">
        <f t="shared" si="2"/>
        <v>2</v>
      </c>
      <c r="E9" s="22">
        <f>SUMPRODUCT((Matches!H5:H28&lt;&gt;"")*(Matches!F5:F28=C9)*(Matches!H5:H28&gt;Matches!I5:I28)*1)+SUMPRODUCT((Matches!H5:H28&lt;&gt;"")*(Matches!K5:K28=C9)*(Matches!I5:I28&gt;Matches!H5:H28)*1)</f>
        <v>1</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1</v>
      </c>
      <c r="H9" s="22">
        <f>SUMIF(Matches!F5:F28,C9,Matches!H5:H28)+SUMIF(Matches!K5:K28,C9,Matches!I5:I28)</f>
        <v>4</v>
      </c>
      <c r="I9" s="22">
        <f>SUMIF(Matches!F5:F28,C9,Matches!I5:I28)+SUMIF(Matches!K5:K28,C9,Matches!H5:H28)</f>
        <v>3</v>
      </c>
      <c r="J9" s="22">
        <f t="shared" si="3"/>
        <v>1</v>
      </c>
      <c r="K9" s="22">
        <f t="shared" si="4"/>
        <v>3</v>
      </c>
      <c r="L9" s="22">
        <f>Setup!E13</f>
        <v>1508</v>
      </c>
      <c r="M9" s="22">
        <f>IF(Setup!F13&lt;&gt;"",-Setup!F13,Setup!E13)</f>
        <v>1508</v>
      </c>
      <c r="N9" s="22">
        <f>RANK(K9,K8:K11)</f>
        <v>2</v>
      </c>
      <c r="O9" s="22">
        <f>SUMPRODUCT((N8:N11=N9)*(J8:J11&gt;J9)*1)</f>
        <v>0</v>
      </c>
      <c r="P9" s="22">
        <f t="shared" si="5"/>
        <v>2</v>
      </c>
      <c r="Q9" s="22">
        <f>SUMPRODUCT((N8:N11=N9)*(J8:J11=J9)*(H8:H11&gt;H9)*1)</f>
        <v>0</v>
      </c>
      <c r="R9" s="22">
        <f t="shared" si="6"/>
        <v>2</v>
      </c>
      <c r="S9" s="22">
        <f>RANK(R9,R8:R11,1)+COUNTIF(R8:R9,R9)-1</f>
        <v>2</v>
      </c>
      <c r="T9" s="22">
        <v>2</v>
      </c>
      <c r="U9" s="22" t="str">
        <f t="shared" ref="U9" si="26">INDEX(C8:C11,MATCH(T9,S8:S11,0),0)</f>
        <v>Ecuador</v>
      </c>
      <c r="V9" s="22">
        <f>INDEX(R8:R11,MATCH(U9,C8:C11,0),0)</f>
        <v>2</v>
      </c>
      <c r="W9" s="22" t="str">
        <f t="shared" ref="W9" si="27">IF(W8&lt;&gt;"",U9,"")</f>
        <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0</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0</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2</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2</v>
      </c>
      <c r="AX9" s="22">
        <v>0</v>
      </c>
      <c r="AY9" s="22">
        <v>0</v>
      </c>
      <c r="AZ9" s="22">
        <v>0</v>
      </c>
      <c r="BA9" s="22">
        <v>0</v>
      </c>
      <c r="BB9" s="22">
        <v>0</v>
      </c>
      <c r="BC9" s="22">
        <v>0</v>
      </c>
      <c r="BD9" s="22">
        <v>0</v>
      </c>
      <c r="BE9" s="22">
        <v>0</v>
      </c>
      <c r="BF9" s="22">
        <v>0</v>
      </c>
      <c r="BG9" s="22">
        <v>0</v>
      </c>
      <c r="BH9" s="22">
        <v>0</v>
      </c>
      <c r="BI9" s="22">
        <f t="shared" si="17"/>
        <v>2</v>
      </c>
      <c r="BJ9" s="22">
        <f>SUMPRODUCT((BI8:BI11=BI9)*(A8:A11&gt;A9)*1)</f>
        <v>0</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1664</v>
      </c>
      <c r="B10" s="22">
        <f t="shared" si="25"/>
        <v>3</v>
      </c>
      <c r="C10" s="22" t="str">
        <f t="shared" si="1"/>
        <v>Venezuela</v>
      </c>
      <c r="D10" s="22">
        <f t="shared" si="2"/>
        <v>2</v>
      </c>
      <c r="E10" s="22">
        <f>SUMPRODUCT((Matches!H5:H28&lt;&gt;"")*(Matches!F5:F28=C10)*(Matches!H5:H28&gt;Matches!I5:I28)*1)+SUMPRODUCT((Matches!H5:H28&lt;&gt;"")*(Matches!K5:K28=C10)*(Matches!I5:I28&gt;Matches!H5:H28)*1)</f>
        <v>2</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3</v>
      </c>
      <c r="I10" s="22">
        <f>SUMIF(Matches!F5:F28,C10,Matches!I5:I28)+SUMIF(Matches!K5:K28,C10,Matches!H5:H28)</f>
        <v>1</v>
      </c>
      <c r="J10" s="22">
        <f t="shared" si="3"/>
        <v>2</v>
      </c>
      <c r="K10" s="22">
        <f t="shared" si="4"/>
        <v>6</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1</v>
      </c>
      <c r="T10" s="22">
        <v>3</v>
      </c>
      <c r="U10" s="22" t="str">
        <f>INDEX(C8:C11,MATCH(T10,S8:S11,0),0)</f>
        <v>Mexico</v>
      </c>
      <c r="V10" s="22">
        <f>INDEX(R8:R11,MATCH(U10,C8:C11,0),0)</f>
        <v>3</v>
      </c>
      <c r="W10" s="22" t="str">
        <f t="shared" ref="W10:W11" si="35">IF(AND(W9&lt;&gt;"",V10=1),U10,"")</f>
        <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0</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0</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3</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3</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3</v>
      </c>
      <c r="BJ10" s="22">
        <f>SUMPRODUCT((BI8:BI11=BI10)*(A8:A11&gt;A10)*1)</f>
        <v>0</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2</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2</v>
      </c>
      <c r="H11" s="22">
        <f>SUMIF(Matches!F5:F28,C11,Matches!H5:H28)+SUMIF(Matches!K5:K28,C11,Matches!I5:I28)</f>
        <v>1</v>
      </c>
      <c r="I11" s="22">
        <f>SUMIF(Matches!F5:F28,C11,Matches!I5:I28)+SUMIF(Matches!K5:K28,C11,Matches!H5:H28)</f>
        <v>4</v>
      </c>
      <c r="J11" s="22">
        <f t="shared" si="3"/>
        <v>-3</v>
      </c>
      <c r="K11" s="22">
        <f t="shared" si="4"/>
        <v>0</v>
      </c>
      <c r="L11" s="22">
        <f>Setup!E15</f>
        <v>1422</v>
      </c>
      <c r="M11" s="22">
        <f>IF(Setup!F15&lt;&gt;"",-Setup!F15,Setup!E15)</f>
        <v>1422</v>
      </c>
      <c r="N11" s="22">
        <f>RANK(K11,K8:K11)</f>
        <v>4</v>
      </c>
      <c r="O11" s="22">
        <f>SUMPRODUCT((N8:N11=N11)*(J8:J11&gt;J11)*1)</f>
        <v>0</v>
      </c>
      <c r="P11" s="22">
        <f t="shared" si="5"/>
        <v>4</v>
      </c>
      <c r="Q11" s="22">
        <f>SUMPRODUCT((N8:N11=N11)*(J8:J11=J11)*(H8:H11&gt;H11)*1)</f>
        <v>0</v>
      </c>
      <c r="R11" s="22">
        <f t="shared" si="6"/>
        <v>4</v>
      </c>
      <c r="S11" s="22">
        <f>RANK(R11,R8:R11,1)+COUNTIF(R8:R11,R11)-1</f>
        <v>4</v>
      </c>
      <c r="T11" s="22">
        <v>4</v>
      </c>
      <c r="U11" s="22" t="str">
        <f t="shared" ref="U11" si="50">INDEX(C8:C11,MATCH(T11,S8:S11,0),0)</f>
        <v>Jamaica</v>
      </c>
      <c r="V11" s="22">
        <f>INDEX(R8:R11,MATCH(U11,C8:C11,0),0)</f>
        <v>4</v>
      </c>
      <c r="W11" s="22" t="str">
        <f t="shared" si="35"/>
        <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0</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0</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4</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4</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4</v>
      </c>
      <c r="BJ11" s="22">
        <f>SUMPRODUCT((BI8:BI11=BI11)*(A8:A11&gt;A11)*1)</f>
        <v>0</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1644</v>
      </c>
      <c r="B12" s="22">
        <f t="shared" si="25"/>
        <v>1</v>
      </c>
      <c r="C12" s="22" t="str">
        <f t="shared" si="1"/>
        <v>United States</v>
      </c>
      <c r="D12" s="22">
        <f t="shared" si="2"/>
        <v>1</v>
      </c>
      <c r="E12" s="22">
        <f>SUMPRODUCT((Matches!H5:H28&lt;&gt;"")*(Matches!F5:F28=C12)*(Matches!H5:H28&gt;Matches!I5:I28)*1)+SUMPRODUCT((Matches!H5:H28&lt;&gt;"")*(Matches!K5:K28=C12)*(Matches!I5:I28&gt;Matches!H5:H28)*1)</f>
        <v>1</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2</v>
      </c>
      <c r="I12" s="22">
        <f>SUMIF(Matches!F5:F28,C12,Matches!I5:I28)+SUMIF(Matches!K5:K28,C12,Matches!H5:H28)</f>
        <v>0</v>
      </c>
      <c r="J12" s="22">
        <f t="shared" si="3"/>
        <v>2</v>
      </c>
      <c r="K12" s="22">
        <f t="shared" si="4"/>
        <v>3</v>
      </c>
      <c r="L12" s="22">
        <f>Setup!E16</f>
        <v>1676</v>
      </c>
      <c r="M12" s="22">
        <f>IF(Setup!F16&lt;&gt;"",-Setup!F16,Setup!E16)</f>
        <v>1676</v>
      </c>
      <c r="N12" s="22">
        <f>RANK(K12,K12:K15)</f>
        <v>1</v>
      </c>
      <c r="O12" s="22">
        <f>SUMPRODUCT((N12:N15=N12)*(J12:J15&gt;J12)*1)</f>
        <v>0</v>
      </c>
      <c r="P12" s="22">
        <f t="shared" si="5"/>
        <v>1</v>
      </c>
      <c r="Q12" s="22">
        <f>SUMPRODUCT((N12:N15=N12)*(J12:J15=J12)*(H12:H15&gt;H12)*1)</f>
        <v>1</v>
      </c>
      <c r="R12" s="22">
        <f t="shared" si="6"/>
        <v>2</v>
      </c>
      <c r="S12" s="22">
        <f>RANK(R12,R12:R15,1)+COUNTIF(R12:R12,R12)-1</f>
        <v>2</v>
      </c>
      <c r="T12" s="22">
        <v>1</v>
      </c>
      <c r="U12" s="22" t="str">
        <f t="shared" ref="U12" si="62">INDEX(C12:C15,MATCH(T12,S12:S15,0),0)</f>
        <v>Uruguay</v>
      </c>
      <c r="V12" s="22">
        <f>INDEX(R12:R15,MATCH(U12,C12:C15,0),0)</f>
        <v>1</v>
      </c>
      <c r="W12" s="22" t="str">
        <f t="shared" ref="W12" si="63">IF(V13=1,U12,"")</f>
        <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0</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0</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1676</v>
      </c>
      <c r="B13" s="22">
        <f t="shared" si="25"/>
        <v>2</v>
      </c>
      <c r="C13" s="22" t="str">
        <f t="shared" si="1"/>
        <v>Uruguay</v>
      </c>
      <c r="D13" s="22">
        <f t="shared" si="2"/>
        <v>1</v>
      </c>
      <c r="E13" s="22">
        <f>SUMPRODUCT((Matches!H5:H28&lt;&gt;"")*(Matches!F5:F28=C13)*(Matches!H5:H28&gt;Matches!I5:I28)*1)+SUMPRODUCT((Matches!H5:H28&lt;&gt;"")*(Matches!K5:K28=C13)*(Matches!I5:I28&gt;Matches!H5:H28)*1)</f>
        <v>1</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3</v>
      </c>
      <c r="I13" s="22">
        <f>SUMIF(Matches!F5:F28,C13,Matches!I5:I28)+SUMIF(Matches!K5:K28,C13,Matches!H5:H28)</f>
        <v>1</v>
      </c>
      <c r="J13" s="22">
        <f t="shared" si="3"/>
        <v>2</v>
      </c>
      <c r="K13" s="22">
        <f t="shared" si="4"/>
        <v>3</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1</v>
      </c>
      <c r="T13" s="22">
        <v>2</v>
      </c>
      <c r="U13" s="22" t="str">
        <f t="shared" ref="U13" si="67">INDEX(C12:C15,MATCH(T13,S12:S15,0),0)</f>
        <v>United States</v>
      </c>
      <c r="V13" s="22">
        <f>INDEX(R12:R15,MATCH(U13,C12:C15,0),0)</f>
        <v>2</v>
      </c>
      <c r="W13" s="22" t="str">
        <f t="shared" ref="W13" si="68">IF(W12&lt;&gt;"",U13,"")</f>
        <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0</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0</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2</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2</v>
      </c>
      <c r="AX13" s="22">
        <v>0</v>
      </c>
      <c r="AY13" s="22">
        <v>0</v>
      </c>
      <c r="AZ13" s="22">
        <v>0</v>
      </c>
      <c r="BA13" s="22">
        <v>0</v>
      </c>
      <c r="BB13" s="22">
        <v>0</v>
      </c>
      <c r="BC13" s="22">
        <v>0</v>
      </c>
      <c r="BD13" s="22">
        <v>0</v>
      </c>
      <c r="BE13" s="22">
        <v>0</v>
      </c>
      <c r="BF13" s="22">
        <v>0</v>
      </c>
      <c r="BG13" s="22">
        <v>0</v>
      </c>
      <c r="BH13" s="22">
        <v>0</v>
      </c>
      <c r="BI13" s="22">
        <f t="shared" si="17"/>
        <v>2</v>
      </c>
      <c r="BJ13" s="22">
        <f>SUMPRODUCT((BI12:BI15=BI13)*(A12:A15&gt;A13)*1)</f>
        <v>0</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8</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1</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1</v>
      </c>
      <c r="H14" s="22">
        <f>SUMIF(Matches!F5:F28,C14,Matches!H5:H28)+SUMIF(Matches!K5:K28,C14,Matches!I5:I28)</f>
        <v>1</v>
      </c>
      <c r="I14" s="22">
        <f>SUMIF(Matches!F5:F28,C14,Matches!I5:I28)+SUMIF(Matches!K5:K28,C14,Matches!H5:H28)</f>
        <v>3</v>
      </c>
      <c r="J14" s="22">
        <f t="shared" si="3"/>
        <v>-2</v>
      </c>
      <c r="K14" s="22">
        <f t="shared" si="4"/>
        <v>0</v>
      </c>
      <c r="L14" s="22">
        <f>Setup!E18</f>
        <v>1461</v>
      </c>
      <c r="M14" s="22">
        <f>IF(Setup!F18&lt;&gt;"",-Setup!F18,Setup!E18)</f>
        <v>1461</v>
      </c>
      <c r="N14" s="22">
        <f>RANK(K14,K12:K15)</f>
        <v>3</v>
      </c>
      <c r="O14" s="22">
        <f>SUMPRODUCT((N12:N15=N14)*(J12:J15&gt;J14)*1)</f>
        <v>0</v>
      </c>
      <c r="P14" s="22">
        <f t="shared" si="5"/>
        <v>3</v>
      </c>
      <c r="Q14" s="22">
        <f>SUMPRODUCT((N12:N15=N14)*(J12:J15=J14)*(H12:H15&gt;H14)*1)</f>
        <v>0</v>
      </c>
      <c r="R14" s="22">
        <f t="shared" si="6"/>
        <v>3</v>
      </c>
      <c r="S14" s="22">
        <f>RANK(R14,R12:R15,1)+COUNTIF(R12:R14,R14)-1</f>
        <v>3</v>
      </c>
      <c r="T14" s="22">
        <v>3</v>
      </c>
      <c r="U14" s="22" t="str">
        <f t="shared" ref="U14" si="76">INDEX(C12:C15,MATCH(T14,S12:S15,0),0)</f>
        <v>Panama</v>
      </c>
      <c r="V14" s="22">
        <f>INDEX(R12:R15,MATCH(U14,C12:C15,0),0)</f>
        <v>3</v>
      </c>
      <c r="W14" s="22" t="str">
        <f t="shared" ref="W14:W15" si="77">IF(AND(W13&lt;&gt;"",V14=1),U14,"")</f>
        <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0</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0</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3</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3</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3</v>
      </c>
      <c r="BJ14" s="22">
        <f>SUMPRODUCT((BI12:BI15=BI14)*(A12:A15&gt;A14)*1)</f>
        <v>0</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1</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1</v>
      </c>
      <c r="H15" s="22">
        <f>SUMIF(Matches!F5:F28,C15,Matches!H5:H28)+SUMIF(Matches!K5:K28,C15,Matches!I5:I28)</f>
        <v>0</v>
      </c>
      <c r="I15" s="22">
        <f>SUMIF(Matches!F5:F28,C15,Matches!I5:I28)+SUMIF(Matches!K5:K28,C15,Matches!H5:H28)</f>
        <v>2</v>
      </c>
      <c r="J15" s="22">
        <f t="shared" si="3"/>
        <v>-2</v>
      </c>
      <c r="K15" s="22">
        <f t="shared" si="4"/>
        <v>0</v>
      </c>
      <c r="L15" s="22">
        <f>Setup!E19</f>
        <v>1271</v>
      </c>
      <c r="M15" s="22">
        <f>IF(Setup!F19&lt;&gt;"",-Setup!F19,Setup!E19)</f>
        <v>1271</v>
      </c>
      <c r="N15" s="22">
        <f>RANK(K15,K12:K15)</f>
        <v>3</v>
      </c>
      <c r="O15" s="22">
        <f>SUMPRODUCT((N12:N15=N15)*(J12:J15&gt;J15)*1)</f>
        <v>0</v>
      </c>
      <c r="P15" s="22">
        <f t="shared" si="5"/>
        <v>3</v>
      </c>
      <c r="Q15" s="22">
        <f>SUMPRODUCT((N12:N15=N15)*(J12:J15=J15)*(H12:H15&gt;H15)*1)</f>
        <v>1</v>
      </c>
      <c r="R15" s="22">
        <f t="shared" si="6"/>
        <v>4</v>
      </c>
      <c r="S15" s="22">
        <f>RANK(R15,R12:R15,1)+COUNTIF(R12:R15,R15)-1</f>
        <v>4</v>
      </c>
      <c r="T15" s="22">
        <v>4</v>
      </c>
      <c r="U15" s="22" t="str">
        <f t="shared" ref="U15" si="92">INDEX(C12:C15,MATCH(T15,S12:S15,0),0)</f>
        <v>Bolivia</v>
      </c>
      <c r="V15" s="22">
        <f>INDEX(R12:R15,MATCH(U15,C12:C15,0),0)</f>
        <v>4</v>
      </c>
      <c r="W15" s="22" t="str">
        <f t="shared" si="77"/>
        <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0</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0</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4</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4</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4</v>
      </c>
      <c r="BJ15" s="22">
        <f>SUMPRODUCT((BI12:BI15=BI15)*(A12:A15&gt;A15)*1)</f>
        <v>0</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1627</v>
      </c>
      <c r="B16" s="22">
        <f t="shared" si="25"/>
        <v>1</v>
      </c>
      <c r="C16" s="22" t="str">
        <f t="shared" si="1"/>
        <v>Brazil</v>
      </c>
      <c r="D16" s="22">
        <f t="shared" si="2"/>
        <v>1</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1</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1</v>
      </c>
      <c r="L16" s="22">
        <f>Setup!E20</f>
        <v>1812</v>
      </c>
      <c r="M16" s="22">
        <f>IF(Setup!F20&lt;&gt;"",-Setup!F20,Setup!E20)</f>
        <v>1812</v>
      </c>
      <c r="N16" s="22">
        <f>RANK(K16,K16:K19)</f>
        <v>2</v>
      </c>
      <c r="O16" s="22">
        <f>SUMPRODUCT((N16:N19=N16)*(J16:J19&gt;J16)*1)</f>
        <v>0</v>
      </c>
      <c r="P16" s="22">
        <f t="shared" si="5"/>
        <v>2</v>
      </c>
      <c r="Q16" s="22">
        <f>SUMPRODUCT((N16:N19=N16)*(J16:J19=J16)*(H16:H19&gt;H16)*1)</f>
        <v>0</v>
      </c>
      <c r="R16" s="22">
        <f t="shared" si="6"/>
        <v>2</v>
      </c>
      <c r="S16" s="22">
        <f>RANK(R16,R16:R19,1)+COUNTIF(R16:R16,R16)-1</f>
        <v>2</v>
      </c>
      <c r="T16" s="22">
        <v>1</v>
      </c>
      <c r="U16" s="22" t="str">
        <f t="shared" ref="U16" si="104">INDEX(C16:C19,MATCH(T16,S16:S19,0),0)</f>
        <v>Colombia</v>
      </c>
      <c r="V16" s="22">
        <f>INDEX(R16:R19,MATCH(U16,C16:C19,0),0)</f>
        <v>1</v>
      </c>
      <c r="W16" s="22" t="str">
        <f t="shared" ref="W16" si="105">IF(V17=1,U16,"")</f>
        <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0</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0</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1812</v>
      </c>
      <c r="B17" s="22">
        <f t="shared" si="25"/>
        <v>2</v>
      </c>
      <c r="C17" s="22" t="str">
        <f t="shared" si="1"/>
        <v>Colombia</v>
      </c>
      <c r="D17" s="22">
        <f t="shared" si="2"/>
        <v>1</v>
      </c>
      <c r="E17" s="22">
        <f>SUMPRODUCT((Matches!H5:H28&lt;&gt;"")*(Matches!F5:F28=C17)*(Matches!H5:H28&gt;Matches!I5:I28)*1)+SUMPRODUCT((Matches!H5:H28&lt;&gt;"")*(Matches!K5:K28=C17)*(Matches!I5:I28&gt;Matches!H5:H28)*1)</f>
        <v>1</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2</v>
      </c>
      <c r="I17" s="22">
        <f>SUMIF(Matches!F5:F28,C17,Matches!I5:I28)+SUMIF(Matches!K5:K28,C17,Matches!H5:H28)</f>
        <v>1</v>
      </c>
      <c r="J17" s="22">
        <f t="shared" si="3"/>
        <v>1</v>
      </c>
      <c r="K17" s="22">
        <f t="shared" si="4"/>
        <v>3</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1</v>
      </c>
      <c r="T17" s="22">
        <v>2</v>
      </c>
      <c r="U17" s="22" t="str">
        <f t="shared" ref="U17" si="109">INDEX(C16:C19,MATCH(T17,S16:S19,0),0)</f>
        <v>Brazil</v>
      </c>
      <c r="V17" s="22">
        <f>INDEX(R16:R19,MATCH(U17,C16:C19,0),0)</f>
        <v>2</v>
      </c>
      <c r="W17" s="22" t="str">
        <f t="shared" ref="W17" si="110">IF(W16&lt;&gt;"",U17,"")</f>
        <v/>
      </c>
      <c r="X17" s="22" t="str">
        <f t="shared" ref="X17" si="111">IF(V18=2,U17,"")</f>
        <v>Brazil</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0</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0</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2</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1</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1</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2</v>
      </c>
      <c r="AX17" s="22">
        <v>0</v>
      </c>
      <c r="AY17" s="22">
        <v>0</v>
      </c>
      <c r="AZ17" s="22">
        <v>0</v>
      </c>
      <c r="BA17" s="22">
        <v>0</v>
      </c>
      <c r="BB17" s="22">
        <v>0</v>
      </c>
      <c r="BC17" s="22">
        <v>0</v>
      </c>
      <c r="BD17" s="22">
        <v>0</v>
      </c>
      <c r="BE17" s="22">
        <v>0</v>
      </c>
      <c r="BF17" s="22">
        <v>0</v>
      </c>
      <c r="BG17" s="22">
        <v>0</v>
      </c>
      <c r="BH17" s="22">
        <v>0</v>
      </c>
      <c r="BI17" s="22">
        <f t="shared" si="17"/>
        <v>2</v>
      </c>
      <c r="BJ17" s="22">
        <f>SUMPRODUCT((BI16:BI19=BI17)*(A16:A19&gt;A17)*1)</f>
        <v>0</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1452</v>
      </c>
      <c r="B18" s="22">
        <f t="shared" si="25"/>
        <v>3</v>
      </c>
      <c r="C18" s="22" t="str">
        <f>IF(License!G14="Musa",BZ21,BZ20)</f>
        <v>Paraguay</v>
      </c>
      <c r="D18" s="22">
        <f t="shared" si="2"/>
        <v>1</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1</v>
      </c>
      <c r="H18" s="22">
        <f>SUMIF(Matches!F5:F28,C18,Matches!H5:H28)+SUMIF(Matches!K5:K28,C18,Matches!I5:I28)</f>
        <v>1</v>
      </c>
      <c r="I18" s="22">
        <f>SUMIF(Matches!F5:F28,C18,Matches!I5:I28)+SUMIF(Matches!K5:K28,C18,Matches!H5:H28)</f>
        <v>2</v>
      </c>
      <c r="J18" s="22">
        <f t="shared" si="3"/>
        <v>-1</v>
      </c>
      <c r="K18" s="22">
        <f t="shared" si="4"/>
        <v>0</v>
      </c>
      <c r="L18" s="22">
        <f>Setup!E22</f>
        <v>1437</v>
      </c>
      <c r="M18" s="22">
        <f>IF(Setup!F22&lt;&gt;"",-Setup!F22,Setup!E22)</f>
        <v>1437</v>
      </c>
      <c r="N18" s="22">
        <f>RANK(K18,K16:K19)</f>
        <v>4</v>
      </c>
      <c r="O18" s="22">
        <f>SUMPRODUCT((N16:N19=N18)*(J16:J19&gt;J18)*1)</f>
        <v>0</v>
      </c>
      <c r="P18" s="22">
        <f t="shared" si="5"/>
        <v>4</v>
      </c>
      <c r="Q18" s="22">
        <f>SUMPRODUCT((N16:N19=N18)*(J16:J19=J18)*(H16:H19&gt;H18)*1)</f>
        <v>0</v>
      </c>
      <c r="R18" s="22">
        <f t="shared" si="6"/>
        <v>4</v>
      </c>
      <c r="S18" s="22">
        <f>RANK(R18,R16:R19,1)+COUNTIF(R16:R18,R18)-1</f>
        <v>4</v>
      </c>
      <c r="T18" s="22">
        <v>3</v>
      </c>
      <c r="U18" s="22" t="str">
        <f t="shared" ref="U18" si="118">INDEX(C16:C19,MATCH(T18,S16:S19,0),0)</f>
        <v>Costa Rica</v>
      </c>
      <c r="V18" s="22">
        <f>INDEX(R16:R19,MATCH(U18,C16:C19,0),0)</f>
        <v>2</v>
      </c>
      <c r="W18" s="22" t="str">
        <f t="shared" ref="W18:W19" si="119">IF(AND(W17&lt;&gt;"",V18=1),U18,"")</f>
        <v/>
      </c>
      <c r="X18" s="22" t="str">
        <f t="shared" ref="X18" si="120">IF(X17&lt;&gt;"",U18,"")</f>
        <v>Costa Rica</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0</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0</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2</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1</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1</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2</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2</v>
      </c>
      <c r="BJ18" s="22">
        <f>SUMPRODUCT((BI16:BI19=BI18)*(A16:A19&gt;A18)*1)</f>
        <v>1</v>
      </c>
      <c r="BK18" s="22">
        <f t="shared" si="14"/>
        <v>3</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1437</v>
      </c>
      <c r="B19" s="22">
        <f t="shared" si="25"/>
        <v>4</v>
      </c>
      <c r="C19" s="22" t="str">
        <f t="shared" si="1"/>
        <v>Costa Rica</v>
      </c>
      <c r="D19" s="22">
        <f t="shared" si="2"/>
        <v>1</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1</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1</v>
      </c>
      <c r="L19" s="22">
        <f>Setup!E23</f>
        <v>1452</v>
      </c>
      <c r="M19" s="22">
        <f>IF(Setup!F23&lt;&gt;"",-Setup!F23,Setup!E23)</f>
        <v>1452</v>
      </c>
      <c r="N19" s="22">
        <f>RANK(K19,K16:K19)</f>
        <v>2</v>
      </c>
      <c r="O19" s="22">
        <f>SUMPRODUCT((N16:N19=N19)*(J16:J19&gt;J19)*1)</f>
        <v>0</v>
      </c>
      <c r="P19" s="22">
        <f t="shared" si="5"/>
        <v>2</v>
      </c>
      <c r="Q19" s="22">
        <f>SUMPRODUCT((N16:N19=N19)*(J16:J19=J19)*(H16:H19&gt;H19)*1)</f>
        <v>0</v>
      </c>
      <c r="R19" s="22">
        <f t="shared" si="6"/>
        <v>2</v>
      </c>
      <c r="S19" s="22">
        <f>RANK(R19,R16:R19,1)+COUNTIF(R16:R19,R19)-1</f>
        <v>3</v>
      </c>
      <c r="T19" s="22">
        <v>4</v>
      </c>
      <c r="U19" s="22" t="str">
        <f t="shared" ref="U19" si="134">INDEX(C16:C19,MATCH(T19,S16:S19,0),0)</f>
        <v>Paraguay</v>
      </c>
      <c r="V19" s="22">
        <f>INDEX(R16:R19,MATCH(U19,C16:C19,0),0)</f>
        <v>4</v>
      </c>
      <c r="W19" s="22" t="str">
        <f t="shared" si="119"/>
        <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0</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0</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4</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4</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4</v>
      </c>
      <c r="BJ19" s="22">
        <f>SUMPRODUCT((BI16:BI19=BI19)*(A16:A19&gt;A19)*1)</f>
        <v>0</v>
      </c>
      <c r="BK19" s="22">
        <f t="shared" si="14"/>
        <v>4</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4</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4</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2024-06-27T08:07:26Z</dcterms:modified>
</cp:coreProperties>
</file>